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4520" windowHeight="12795" firstSheet="1" activeTab="1"/>
  </bookViews>
  <sheets>
    <sheet name="Carichi Unitari" sheetId="19" r:id="rId1"/>
    <sheet name="C.U. tab. riassuntiva" sheetId="14" r:id="rId2"/>
    <sheet name="Car_Trav" sheetId="15" r:id="rId3"/>
    <sheet name="Masse Impalcato" sheetId="16" r:id="rId4"/>
    <sheet name="Masse e Forze" sheetId="2" r:id="rId5"/>
    <sheet name="C. Sollecitazione" sheetId="3" r:id="rId6"/>
    <sheet name="Dimensionamento t+6" sheetId="5" r:id="rId7"/>
    <sheet name="Rig_tip_pilastro" sheetId="11" r:id="rId8"/>
    <sheet name="Periodo proprio" sheetId="9" r:id="rId9"/>
    <sheet name="Bilanciamento" sheetId="10" r:id="rId10"/>
    <sheet name="C. Rigidezza e Confronto" sheetId="12" r:id="rId11"/>
    <sheet name="Confronti" sheetId="13" r:id="rId12"/>
    <sheet name="Ecc. accid." sheetId="17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calcPr calcId="124519"/>
  <fileRecoveryPr autoRecover="0"/>
</workbook>
</file>

<file path=xl/calcChain.xml><?xml version="1.0" encoding="utf-8"?>
<calcChain xmlns="http://schemas.openxmlformats.org/spreadsheetml/2006/main">
  <c r="H7" i="16"/>
  <c r="Q12"/>
  <c r="Q30" s="1"/>
  <c r="H12"/>
  <c r="Q23"/>
  <c r="N30"/>
  <c r="H30"/>
  <c r="E30"/>
  <c r="N12"/>
  <c r="C5" i="2"/>
  <c r="E12" i="16"/>
  <c r="N29" l="1"/>
  <c r="N11"/>
  <c r="N10"/>
  <c r="E11"/>
  <c r="C9" i="2" l="1"/>
  <c r="C6"/>
  <c r="C8" s="1"/>
  <c r="C7" l="1"/>
  <c r="N22" i="16"/>
  <c r="N25"/>
  <c r="E23"/>
  <c r="W22" s="1"/>
  <c r="N4"/>
  <c r="E22" s="1"/>
  <c r="E4"/>
  <c r="H2" s="1"/>
  <c r="C4" i="2" s="1"/>
  <c r="K23" i="13"/>
  <c r="K22"/>
  <c r="K21"/>
  <c r="K20"/>
  <c r="K19"/>
  <c r="K18"/>
  <c r="K10"/>
  <c r="K9"/>
  <c r="K8"/>
  <c r="K7"/>
  <c r="K6"/>
  <c r="K5"/>
  <c r="H24"/>
  <c r="H23"/>
  <c r="H22"/>
  <c r="H21"/>
  <c r="H20"/>
  <c r="H19"/>
  <c r="H18"/>
  <c r="E23"/>
  <c r="E22"/>
  <c r="E21"/>
  <c r="E20"/>
  <c r="E19"/>
  <c r="E18"/>
  <c r="H11"/>
  <c r="H10"/>
  <c r="H9"/>
  <c r="H8"/>
  <c r="H7"/>
  <c r="H6"/>
  <c r="H5"/>
  <c r="E10"/>
  <c r="E9"/>
  <c r="E8"/>
  <c r="E7"/>
  <c r="E6"/>
  <c r="E5"/>
  <c r="I8" i="12" l="1"/>
  <c r="S31" i="9"/>
  <c r="S16"/>
  <c r="G32" i="12" l="1"/>
  <c r="K87" i="11"/>
  <c r="K86"/>
  <c r="K85"/>
  <c r="K84"/>
  <c r="K83"/>
  <c r="K82"/>
  <c r="K31"/>
  <c r="K30"/>
  <c r="K29"/>
  <c r="K28"/>
  <c r="K27"/>
  <c r="K26"/>
  <c r="S6" i="2"/>
  <c r="S7"/>
  <c r="S8"/>
  <c r="S9"/>
  <c r="S10"/>
  <c r="S5"/>
  <c r="R6"/>
  <c r="R7"/>
  <c r="R8"/>
  <c r="R9"/>
  <c r="R10"/>
  <c r="R5"/>
  <c r="Q6"/>
  <c r="Q7"/>
  <c r="Q8"/>
  <c r="Q9"/>
  <c r="Q10"/>
  <c r="Q5"/>
  <c r="M6"/>
  <c r="M7"/>
  <c r="M8"/>
  <c r="M9"/>
  <c r="M10"/>
  <c r="M5" l="1"/>
  <c r="I4" i="12"/>
  <c r="I3"/>
  <c r="P16" i="3" l="1"/>
  <c r="B149" i="19"/>
  <c r="G3"/>
  <c r="G6" s="1"/>
  <c r="J3"/>
  <c r="G4"/>
  <c r="G5"/>
  <c r="G8"/>
  <c r="G9"/>
  <c r="G10"/>
  <c r="G11"/>
  <c r="G16"/>
  <c r="G19" s="1"/>
  <c r="J16"/>
  <c r="G17"/>
  <c r="G18"/>
  <c r="G21"/>
  <c r="G22"/>
  <c r="G23"/>
  <c r="G24" s="1"/>
  <c r="J28"/>
  <c r="M29" s="1"/>
  <c r="Q29" s="1"/>
  <c r="C29"/>
  <c r="N29"/>
  <c r="B30"/>
  <c r="G30" s="1"/>
  <c r="C30"/>
  <c r="N30"/>
  <c r="G35"/>
  <c r="O35"/>
  <c r="G42"/>
  <c r="F49"/>
  <c r="G49"/>
  <c r="H60" s="1"/>
  <c r="J49"/>
  <c r="G50"/>
  <c r="H70" s="1"/>
  <c r="J50"/>
  <c r="E55"/>
  <c r="H55" s="1"/>
  <c r="G55"/>
  <c r="J55"/>
  <c r="K55" s="1"/>
  <c r="F60"/>
  <c r="K60" s="1"/>
  <c r="F61"/>
  <c r="K61" s="1"/>
  <c r="F69"/>
  <c r="T69"/>
  <c r="F70"/>
  <c r="K70"/>
  <c r="T70"/>
  <c r="I71"/>
  <c r="M71"/>
  <c r="D77"/>
  <c r="F77" s="1"/>
  <c r="K77"/>
  <c r="M77" s="1"/>
  <c r="R77"/>
  <c r="T77" s="1"/>
  <c r="G82"/>
  <c r="R82"/>
  <c r="T82"/>
  <c r="G83"/>
  <c r="G84" s="1"/>
  <c r="G86"/>
  <c r="R86"/>
  <c r="T86" s="1"/>
  <c r="G87"/>
  <c r="G88" s="1"/>
  <c r="R90"/>
  <c r="T90" s="1"/>
  <c r="G100"/>
  <c r="J100" s="1"/>
  <c r="G101"/>
  <c r="J101"/>
  <c r="G112"/>
  <c r="G115" s="1"/>
  <c r="G113"/>
  <c r="G114"/>
  <c r="B117"/>
  <c r="C117"/>
  <c r="D117"/>
  <c r="F117"/>
  <c r="G117" s="1"/>
  <c r="G120" s="1"/>
  <c r="G118"/>
  <c r="G119"/>
  <c r="G126"/>
  <c r="J126"/>
  <c r="K128"/>
  <c r="K130"/>
  <c r="K131"/>
  <c r="G136"/>
  <c r="G139" s="1"/>
  <c r="G137"/>
  <c r="G138"/>
  <c r="G141"/>
  <c r="G142"/>
  <c r="G143"/>
  <c r="G144" s="1"/>
  <c r="G149"/>
  <c r="J149"/>
  <c r="K151"/>
  <c r="B152"/>
  <c r="E152" s="1"/>
  <c r="H152" s="1"/>
  <c r="K153"/>
  <c r="K154"/>
  <c r="G160"/>
  <c r="O160"/>
  <c r="O163" s="1"/>
  <c r="P163" s="1"/>
  <c r="Q163" s="1"/>
  <c r="O170" s="1"/>
  <c r="G161"/>
  <c r="G162" s="1"/>
  <c r="G171" s="1"/>
  <c r="G179" s="1"/>
  <c r="O161"/>
  <c r="O162"/>
  <c r="G164"/>
  <c r="G170" s="1"/>
  <c r="O165"/>
  <c r="G166"/>
  <c r="O166"/>
  <c r="O167"/>
  <c r="G168"/>
  <c r="O168"/>
  <c r="G169"/>
  <c r="O169"/>
  <c r="G174"/>
  <c r="G177" s="1"/>
  <c r="G175"/>
  <c r="G176"/>
  <c r="S15" i="3"/>
  <c r="S16" s="1"/>
  <c r="S17" s="1"/>
  <c r="S18" s="1"/>
  <c r="S14"/>
  <c r="J88" i="19" l="1"/>
  <c r="I94"/>
  <c r="L94" s="1"/>
  <c r="H94"/>
  <c r="I106"/>
  <c r="L106" s="1"/>
  <c r="H106"/>
  <c r="E44"/>
  <c r="G44" s="1"/>
  <c r="G45" s="1"/>
  <c r="B52" s="1"/>
  <c r="M37"/>
  <c r="O37" s="1"/>
  <c r="O38" s="1"/>
  <c r="B53" s="1"/>
  <c r="B49"/>
  <c r="E37"/>
  <c r="G37" s="1"/>
  <c r="G38" s="1"/>
  <c r="B54" s="1"/>
  <c r="J84"/>
  <c r="K69"/>
  <c r="Q31"/>
  <c r="B50"/>
  <c r="B126"/>
  <c r="H61"/>
  <c r="B29"/>
  <c r="G29" s="1"/>
  <c r="G31" s="1"/>
  <c r="B51" s="1"/>
  <c r="K152"/>
  <c r="B129"/>
  <c r="M30"/>
  <c r="Q30" s="1"/>
  <c r="H69"/>
  <c r="E54" l="1"/>
  <c r="J63"/>
  <c r="M63" s="1"/>
  <c r="I91"/>
  <c r="L91" s="1"/>
  <c r="K54"/>
  <c r="I103"/>
  <c r="L103" s="1"/>
  <c r="I90"/>
  <c r="L90" s="1"/>
  <c r="E52"/>
  <c r="I104"/>
  <c r="L104" s="1"/>
  <c r="I92"/>
  <c r="L92" s="1"/>
  <c r="J72"/>
  <c r="M72" s="1"/>
  <c r="K52"/>
  <c r="J62"/>
  <c r="M62" s="1"/>
  <c r="K51"/>
  <c r="E51"/>
  <c r="K53"/>
  <c r="E53"/>
  <c r="H53" s="1"/>
  <c r="K129"/>
  <c r="E129"/>
  <c r="H129" s="1"/>
  <c r="J69"/>
  <c r="M69" s="1"/>
  <c r="E49"/>
  <c r="J60"/>
  <c r="M60" s="1"/>
  <c r="I84"/>
  <c r="L84" s="1"/>
  <c r="K49"/>
  <c r="J70"/>
  <c r="M70" s="1"/>
  <c r="K50"/>
  <c r="E50"/>
  <c r="I88"/>
  <c r="L88" s="1"/>
  <c r="J61"/>
  <c r="M61" s="1"/>
  <c r="I101"/>
  <c r="L101" s="1"/>
  <c r="K149"/>
  <c r="E149"/>
  <c r="H149" s="1"/>
  <c r="K126"/>
  <c r="E126"/>
  <c r="H126" s="1"/>
  <c r="I100"/>
  <c r="L100" s="1"/>
  <c r="G72" l="1"/>
  <c r="I72" s="1"/>
  <c r="H52"/>
  <c r="H54"/>
  <c r="G63"/>
  <c r="I63" s="1"/>
  <c r="H50"/>
  <c r="G61"/>
  <c r="I61" s="1"/>
  <c r="G70"/>
  <c r="I70" s="1"/>
  <c r="H49"/>
  <c r="G60"/>
  <c r="I60" s="1"/>
  <c r="G69"/>
  <c r="I69" s="1"/>
  <c r="H51"/>
  <c r="G62"/>
  <c r="I62" s="1"/>
  <c r="L105"/>
  <c r="L107" s="1"/>
  <c r="M73"/>
  <c r="Q70" s="1"/>
  <c r="V70" s="1"/>
  <c r="M64"/>
  <c r="Q61" s="1"/>
  <c r="L93"/>
  <c r="L95" s="1"/>
  <c r="I64" l="1"/>
  <c r="Q60" s="1"/>
  <c r="H100"/>
  <c r="H84"/>
  <c r="H104"/>
  <c r="H92"/>
  <c r="H90"/>
  <c r="H91"/>
  <c r="H103"/>
  <c r="H101"/>
  <c r="H88"/>
  <c r="I73"/>
  <c r="Q69" s="1"/>
  <c r="V69" s="1"/>
  <c r="H105" l="1"/>
  <c r="H107" s="1"/>
  <c r="H93"/>
  <c r="H95" s="1"/>
  <c r="K29" i="2" l="1"/>
  <c r="K18"/>
  <c r="D5" i="9" l="1"/>
  <c r="H42" i="12" l="1"/>
  <c r="H43"/>
  <c r="H44"/>
  <c r="H46"/>
  <c r="H45"/>
  <c r="H47"/>
  <c r="H37"/>
  <c r="H36"/>
  <c r="H35"/>
  <c r="H34"/>
  <c r="H33"/>
  <c r="H32" l="1"/>
  <c r="H22"/>
  <c r="H23"/>
  <c r="H24"/>
  <c r="H25"/>
  <c r="H26"/>
  <c r="H27"/>
  <c r="H17"/>
  <c r="H16"/>
  <c r="H14"/>
  <c r="H13"/>
  <c r="H12"/>
  <c r="H15"/>
  <c r="D42"/>
  <c r="D43"/>
  <c r="D44"/>
  <c r="D45"/>
  <c r="D46"/>
  <c r="D47"/>
  <c r="D37"/>
  <c r="D36"/>
  <c r="D35"/>
  <c r="D34"/>
  <c r="D33"/>
  <c r="D32"/>
  <c r="D22"/>
  <c r="D23"/>
  <c r="D24"/>
  <c r="N17" l="1"/>
  <c r="F3" i="17" l="1"/>
  <c r="F2"/>
  <c r="I24" i="13" l="1"/>
  <c r="C24"/>
  <c r="I11" l="1"/>
  <c r="C11" l="1"/>
  <c r="D27" i="12" l="1"/>
  <c r="D26"/>
  <c r="D25"/>
  <c r="D17"/>
  <c r="N16"/>
  <c r="D16" l="1"/>
  <c r="L16" s="1"/>
  <c r="N15"/>
  <c r="D15"/>
  <c r="L15" s="1"/>
  <c r="D14"/>
  <c r="L14" s="1"/>
  <c r="D13" l="1"/>
  <c r="L13" s="1"/>
  <c r="N12" l="1"/>
  <c r="D12" l="1"/>
  <c r="L12" s="1"/>
  <c r="O178" i="10" l="1"/>
  <c r="H178"/>
  <c r="F178" l="1"/>
  <c r="D178"/>
  <c r="O174"/>
  <c r="M174" s="1"/>
  <c r="J174"/>
  <c r="H174" s="1"/>
  <c r="O170"/>
  <c r="M170"/>
  <c r="J170"/>
  <c r="H170"/>
  <c r="I166"/>
  <c r="I181" s="1"/>
  <c r="I185" l="1"/>
  <c r="N181"/>
  <c r="I183"/>
  <c r="J181"/>
  <c r="J178"/>
  <c r="D170"/>
  <c r="F174"/>
  <c r="G22" i="12"/>
  <c r="D166" i="10"/>
  <c r="F170"/>
  <c r="D174"/>
  <c r="H181"/>
  <c r="F166"/>
  <c r="Q166" s="1"/>
  <c r="N166" l="1"/>
  <c r="Q178"/>
  <c r="Q174"/>
  <c r="N185"/>
  <c r="N183"/>
  <c r="D181"/>
  <c r="S166"/>
  <c r="J185"/>
  <c r="M181"/>
  <c r="J183"/>
  <c r="G42" i="12"/>
  <c r="M178" i="10"/>
  <c r="F181"/>
  <c r="H185"/>
  <c r="H183"/>
  <c r="O181"/>
  <c r="G12" i="12"/>
  <c r="M12" s="1"/>
  <c r="O185" i="10" l="1"/>
  <c r="O183"/>
  <c r="M185"/>
  <c r="M183"/>
  <c r="Q181"/>
  <c r="F183"/>
  <c r="F185"/>
  <c r="U181"/>
  <c r="D185"/>
  <c r="D183"/>
  <c r="S181"/>
  <c r="S178"/>
  <c r="S170"/>
  <c r="Q170" s="1"/>
  <c r="S174"/>
  <c r="S185" l="1"/>
  <c r="S183"/>
  <c r="Q185"/>
  <c r="Q183"/>
  <c r="S17" l="1"/>
  <c r="S13" s="1"/>
  <c r="Q17"/>
  <c r="Q13" s="1"/>
  <c r="O13" s="1"/>
  <c r="H13" s="1"/>
  <c r="F13" s="1"/>
  <c r="D13" s="1"/>
  <c r="O17"/>
  <c r="M17"/>
  <c r="J17" s="1"/>
  <c r="H17" s="1"/>
  <c r="F17" s="1"/>
  <c r="D17" s="1"/>
  <c r="M13"/>
  <c r="J13" s="1"/>
  <c r="O9"/>
  <c r="M9"/>
  <c r="J9" s="1"/>
  <c r="H9"/>
  <c r="W13" l="1"/>
  <c r="V13" s="1"/>
  <c r="C14" i="12"/>
  <c r="U17" i="10"/>
  <c r="C24" i="12"/>
  <c r="C25" s="1"/>
  <c r="C26" s="1"/>
  <c r="U13" i="10"/>
  <c r="S9"/>
  <c r="Q9"/>
  <c r="F9" s="1"/>
  <c r="D9" s="1"/>
  <c r="S5"/>
  <c r="Q5"/>
  <c r="F5" s="1"/>
  <c r="D5" s="1"/>
  <c r="N5"/>
  <c r="I5" s="1"/>
  <c r="C44" i="12" l="1"/>
  <c r="C45" s="1"/>
  <c r="C46" s="1"/>
  <c r="U5" i="10"/>
  <c r="C34" i="12"/>
  <c r="C35" s="1"/>
  <c r="C36" s="1"/>
  <c r="U9" i="10"/>
  <c r="N13" i="12"/>
  <c r="C15"/>
  <c r="U19" i="10" l="1"/>
  <c r="W17" s="1"/>
  <c r="V17" s="1"/>
  <c r="V5"/>
  <c r="W5"/>
  <c r="K14" i="12"/>
  <c r="N14"/>
  <c r="C16"/>
  <c r="K16" s="1"/>
  <c r="K15"/>
  <c r="V9" i="10"/>
  <c r="W9"/>
  <c r="W19" l="1"/>
  <c r="V19"/>
  <c r="F7" i="12" l="1"/>
  <c r="Y5" i="10"/>
  <c r="F5" i="12" l="1"/>
  <c r="F6"/>
  <c r="C9" i="9" l="1"/>
  <c r="C8"/>
  <c r="K8" s="1"/>
  <c r="C7" i="12" l="1"/>
  <c r="K9" i="9"/>
  <c r="C6" i="12"/>
  <c r="C7" i="9"/>
  <c r="D3" i="12" l="1"/>
  <c r="K20" i="9"/>
  <c r="D15"/>
  <c r="C5" i="12"/>
  <c r="C17" i="9"/>
  <c r="K7"/>
  <c r="E108" i="11"/>
  <c r="I73" i="10" s="1"/>
  <c r="E107" i="11"/>
  <c r="H85" i="10" s="1"/>
  <c r="E105" i="11"/>
  <c r="J77" i="10" s="1"/>
  <c r="F104" i="11"/>
  <c r="E104"/>
  <c r="F85" i="10" s="1"/>
  <c r="F102" i="11"/>
  <c r="E102"/>
  <c r="H81" i="10" s="1"/>
  <c r="G104" i="11" l="1"/>
  <c r="G102"/>
  <c r="I88" i="10"/>
  <c r="N73"/>
  <c r="G107" i="11"/>
  <c r="O85" i="10"/>
  <c r="O81"/>
  <c r="H77"/>
  <c r="G37" i="12" s="1"/>
  <c r="G108" i="11"/>
  <c r="G105"/>
  <c r="F77" i="10"/>
  <c r="F81"/>
  <c r="Q81" s="1"/>
  <c r="F73"/>
  <c r="Q85"/>
  <c r="C18" i="9"/>
  <c r="C19"/>
  <c r="F101" i="11"/>
  <c r="E101"/>
  <c r="D85" i="10" s="1"/>
  <c r="E99" i="11"/>
  <c r="J81" i="10" s="1"/>
  <c r="G92" i="11"/>
  <c r="E92"/>
  <c r="I26" i="10" s="1"/>
  <c r="E91" i="11"/>
  <c r="H38" i="10" s="1"/>
  <c r="G90" i="11"/>
  <c r="G89"/>
  <c r="E89"/>
  <c r="J30" i="10" s="1"/>
  <c r="F88" i="11"/>
  <c r="E88"/>
  <c r="F38" i="10" s="1"/>
  <c r="G86" i="11"/>
  <c r="F86"/>
  <c r="E86"/>
  <c r="H34" i="10" s="1"/>
  <c r="F85" i="11"/>
  <c r="E85"/>
  <c r="D38" i="10" s="1"/>
  <c r="E83" i="11"/>
  <c r="J34" i="10" s="1"/>
  <c r="G77" i="11"/>
  <c r="G83" l="1"/>
  <c r="G88"/>
  <c r="G99"/>
  <c r="G91"/>
  <c r="G101"/>
  <c r="G109" s="1"/>
  <c r="D10" i="9" s="1"/>
  <c r="M81" i="10"/>
  <c r="F34"/>
  <c r="F30"/>
  <c r="F26"/>
  <c r="Q38"/>
  <c r="O38"/>
  <c r="Q73"/>
  <c r="F88"/>
  <c r="H30"/>
  <c r="G34" i="12" s="1"/>
  <c r="G35" s="1"/>
  <c r="G36" s="1"/>
  <c r="O34" i="10"/>
  <c r="M34" s="1"/>
  <c r="D81"/>
  <c r="S81" s="1"/>
  <c r="S85"/>
  <c r="J85"/>
  <c r="D77"/>
  <c r="S77" s="1"/>
  <c r="Q77" s="1"/>
  <c r="D73"/>
  <c r="S38"/>
  <c r="D34"/>
  <c r="S34" s="1"/>
  <c r="D26"/>
  <c r="J38"/>
  <c r="D30"/>
  <c r="S30" s="1"/>
  <c r="I90"/>
  <c r="N88"/>
  <c r="I92"/>
  <c r="N26"/>
  <c r="I41"/>
  <c r="H88"/>
  <c r="O77"/>
  <c r="M77" s="1"/>
  <c r="G85" i="11"/>
  <c r="G27" i="12"/>
  <c r="J41" i="10"/>
  <c r="M76" i="11"/>
  <c r="G76"/>
  <c r="G14" i="12" l="1"/>
  <c r="M14" s="1"/>
  <c r="G93" i="11"/>
  <c r="D7" i="9" s="1"/>
  <c r="M41" i="10"/>
  <c r="M43" s="1"/>
  <c r="J43"/>
  <c r="G24" i="12"/>
  <c r="G25" s="1"/>
  <c r="G26" s="1"/>
  <c r="Q34" i="10"/>
  <c r="I119"/>
  <c r="O76" i="11"/>
  <c r="N41" i="10"/>
  <c r="I43"/>
  <c r="I45"/>
  <c r="S26"/>
  <c r="D41"/>
  <c r="Q26"/>
  <c r="F41"/>
  <c r="O88"/>
  <c r="H90"/>
  <c r="H92"/>
  <c r="Q30"/>
  <c r="J88"/>
  <c r="M85"/>
  <c r="G47" i="12"/>
  <c r="O30" i="10"/>
  <c r="M30" s="1"/>
  <c r="H41"/>
  <c r="M38"/>
  <c r="G44" i="12"/>
  <c r="G45" s="1"/>
  <c r="G46" s="1"/>
  <c r="D20" i="9"/>
  <c r="D8" i="12"/>
  <c r="K25" i="9"/>
  <c r="N90" i="10"/>
  <c r="N92"/>
  <c r="S73"/>
  <c r="D88"/>
  <c r="F92"/>
  <c r="F90"/>
  <c r="Q88"/>
  <c r="G17" i="12"/>
  <c r="E76" i="11"/>
  <c r="O75"/>
  <c r="M75"/>
  <c r="H131" i="10" s="1"/>
  <c r="G75" i="11"/>
  <c r="E75"/>
  <c r="O74"/>
  <c r="G74"/>
  <c r="M73"/>
  <c r="J123" i="10" s="1"/>
  <c r="M123" s="1"/>
  <c r="G73" i="11"/>
  <c r="E73"/>
  <c r="O72"/>
  <c r="N72"/>
  <c r="M72"/>
  <c r="F131" i="10" s="1"/>
  <c r="G72" i="11"/>
  <c r="F72"/>
  <c r="E72"/>
  <c r="N70"/>
  <c r="M70"/>
  <c r="H127" i="10" s="1"/>
  <c r="G70" i="11"/>
  <c r="F70"/>
  <c r="E70"/>
  <c r="N69"/>
  <c r="M69"/>
  <c r="D131" i="10" s="1"/>
  <c r="G69" i="11"/>
  <c r="F69"/>
  <c r="E69"/>
  <c r="G15" i="12" l="1"/>
  <c r="G16" s="1"/>
  <c r="M16" s="1"/>
  <c r="O70" i="11"/>
  <c r="D9" i="9"/>
  <c r="D7" i="12" s="1"/>
  <c r="D8" i="9"/>
  <c r="D6" i="12" s="1"/>
  <c r="H45" i="10"/>
  <c r="O41"/>
  <c r="H43"/>
  <c r="O127"/>
  <c r="H123"/>
  <c r="G33" i="12" s="1"/>
  <c r="J90" i="10"/>
  <c r="J92"/>
  <c r="M88"/>
  <c r="U88" s="1"/>
  <c r="F45"/>
  <c r="F43"/>
  <c r="Q41"/>
  <c r="N119"/>
  <c r="I134"/>
  <c r="D92"/>
  <c r="D123"/>
  <c r="S123" s="1"/>
  <c r="D127"/>
  <c r="S127" s="1"/>
  <c r="Q127" s="1"/>
  <c r="J131"/>
  <c r="D119"/>
  <c r="S131"/>
  <c r="M15" i="12"/>
  <c r="D43" i="10"/>
  <c r="D45"/>
  <c r="S41"/>
  <c r="F123"/>
  <c r="F127"/>
  <c r="Q131"/>
  <c r="F119"/>
  <c r="O92"/>
  <c r="O90"/>
  <c r="Q92"/>
  <c r="Q90"/>
  <c r="N45"/>
  <c r="M45" s="1"/>
  <c r="J45" s="1"/>
  <c r="N43"/>
  <c r="O131"/>
  <c r="D17" i="9"/>
  <c r="K22"/>
  <c r="D5" i="12"/>
  <c r="S88" i="10"/>
  <c r="S90" s="1"/>
  <c r="D90"/>
  <c r="O69" i="11"/>
  <c r="O73"/>
  <c r="M67"/>
  <c r="J127" i="10" s="1"/>
  <c r="G67" i="11"/>
  <c r="E67"/>
  <c r="Q123" i="10" l="1"/>
  <c r="O67" i="11"/>
  <c r="O77" s="1"/>
  <c r="D6" i="9" s="1"/>
  <c r="K24"/>
  <c r="K23"/>
  <c r="M92" i="10"/>
  <c r="M90"/>
  <c r="Q43"/>
  <c r="Q45"/>
  <c r="J134"/>
  <c r="G13" i="12"/>
  <c r="M131" i="10"/>
  <c r="G43" i="12"/>
  <c r="D18" i="9"/>
  <c r="D19"/>
  <c r="D134" i="10"/>
  <c r="S119"/>
  <c r="M127"/>
  <c r="F134"/>
  <c r="Q119"/>
  <c r="O43"/>
  <c r="O45"/>
  <c r="S43"/>
  <c r="S45"/>
  <c r="I136"/>
  <c r="I138"/>
  <c r="N134"/>
  <c r="O123"/>
  <c r="H134"/>
  <c r="U41"/>
  <c r="G23" i="12"/>
  <c r="E58" i="11"/>
  <c r="F56"/>
  <c r="E56"/>
  <c r="S64" i="10" s="1"/>
  <c r="E55" i="11"/>
  <c r="M64" i="10" s="1"/>
  <c r="J64" s="1"/>
  <c r="G53" i="11"/>
  <c r="E53"/>
  <c r="O56" i="10" s="1"/>
  <c r="H56" s="1"/>
  <c r="G51" i="11"/>
  <c r="E51"/>
  <c r="N52" i="10" s="1"/>
  <c r="I52" s="1"/>
  <c r="E49" i="11"/>
  <c r="Q52" i="10" s="1"/>
  <c r="F52" s="1"/>
  <c r="E48" i="11"/>
  <c r="M56" i="10" s="1"/>
  <c r="J56" s="1"/>
  <c r="E47" i="11"/>
  <c r="Q64" i="10" s="1"/>
  <c r="E46" i="11"/>
  <c r="O64" i="10" s="1"/>
  <c r="U45" l="1"/>
  <c r="G46" i="11"/>
  <c r="H64" i="10"/>
  <c r="G47" i="11"/>
  <c r="G56"/>
  <c r="Q56" i="10"/>
  <c r="F56" s="1"/>
  <c r="F64"/>
  <c r="D16" i="9"/>
  <c r="D4" i="12"/>
  <c r="K21" i="9"/>
  <c r="D138" i="10"/>
  <c r="D136"/>
  <c r="S134"/>
  <c r="M60"/>
  <c r="J60" s="1"/>
  <c r="G58" i="11"/>
  <c r="J136" i="10"/>
  <c r="J138"/>
  <c r="F136"/>
  <c r="F138"/>
  <c r="Q134"/>
  <c r="G49" i="11"/>
  <c r="M134" i="10"/>
  <c r="M13" i="12"/>
  <c r="D64" i="10"/>
  <c r="S56"/>
  <c r="D56" s="1"/>
  <c r="S52"/>
  <c r="D52" s="1"/>
  <c r="H136"/>
  <c r="O134"/>
  <c r="H138"/>
  <c r="G48" i="11"/>
  <c r="G55"/>
  <c r="U43" i="10"/>
  <c r="G40" i="11"/>
  <c r="G39"/>
  <c r="E39"/>
  <c r="G37"/>
  <c r="F37"/>
  <c r="E37"/>
  <c r="G36"/>
  <c r="E36"/>
  <c r="G34"/>
  <c r="E34"/>
  <c r="G32"/>
  <c r="E32"/>
  <c r="G30"/>
  <c r="E30"/>
  <c r="G29"/>
  <c r="E29"/>
  <c r="G28"/>
  <c r="E28"/>
  <c r="G27"/>
  <c r="E27"/>
  <c r="O20"/>
  <c r="M20"/>
  <c r="M106" i="10" s="1"/>
  <c r="J106" s="1"/>
  <c r="E20" i="11"/>
  <c r="M153" i="10" s="1"/>
  <c r="J153" s="1"/>
  <c r="N18" i="11"/>
  <c r="M18"/>
  <c r="S110" i="10" s="1"/>
  <c r="G18" i="11"/>
  <c r="F18"/>
  <c r="E18"/>
  <c r="S157" i="10" s="1"/>
  <c r="M17" i="11"/>
  <c r="M110" i="10" s="1"/>
  <c r="E17" i="11"/>
  <c r="M157" i="10" s="1"/>
  <c r="O15" i="11"/>
  <c r="M15"/>
  <c r="O102" i="10" s="1"/>
  <c r="H102" s="1"/>
  <c r="E15" i="11"/>
  <c r="O149" i="10" s="1"/>
  <c r="H149" s="1"/>
  <c r="M13" i="11"/>
  <c r="N98" i="10" s="1"/>
  <c r="I98" s="1"/>
  <c r="E13" i="11"/>
  <c r="N145" i="10" s="1"/>
  <c r="I145" s="1"/>
  <c r="M11" i="11"/>
  <c r="Q98" i="10" s="1"/>
  <c r="F98" s="1"/>
  <c r="E11" i="11"/>
  <c r="Q145" i="10" s="1"/>
  <c r="F145" s="1"/>
  <c r="M10" i="11"/>
  <c r="M102" i="10" s="1"/>
  <c r="J102" s="1"/>
  <c r="E10" i="11"/>
  <c r="M149" i="10" s="1"/>
  <c r="J149" s="1"/>
  <c r="M9" i="11"/>
  <c r="Q110" i="10" s="1"/>
  <c r="E9" i="11"/>
  <c r="Q157" i="10" s="1"/>
  <c r="M8" i="11"/>
  <c r="O110" i="10" s="1"/>
  <c r="G8" i="11"/>
  <c r="E8"/>
  <c r="O157" i="10" s="1"/>
  <c r="H157" s="1"/>
  <c r="D37" i="5"/>
  <c r="D36"/>
  <c r="D35"/>
  <c r="D34"/>
  <c r="U134" i="10" l="1"/>
  <c r="G10" i="11"/>
  <c r="G21" s="1"/>
  <c r="C5" i="9" s="1"/>
  <c r="G59" i="11"/>
  <c r="C10" i="9" s="1"/>
  <c r="G15" i="11"/>
  <c r="F157" i="10"/>
  <c r="G9" i="11"/>
  <c r="O11"/>
  <c r="O18"/>
  <c r="U56" i="10"/>
  <c r="W56" s="1"/>
  <c r="O9" i="11"/>
  <c r="G13"/>
  <c r="G20"/>
  <c r="G17"/>
  <c r="M136" i="10"/>
  <c r="M138"/>
  <c r="Q106"/>
  <c r="Q102"/>
  <c r="F102" s="1"/>
  <c r="D102" s="1"/>
  <c r="C47" i="12"/>
  <c r="U52" i="10"/>
  <c r="G11" i="11"/>
  <c r="J157" i="10"/>
  <c r="O153"/>
  <c r="H153" s="1"/>
  <c r="O136"/>
  <c r="N136" s="1"/>
  <c r="O138"/>
  <c r="N138" s="1"/>
  <c r="Q149"/>
  <c r="F149" s="1"/>
  <c r="Q153"/>
  <c r="F153" s="1"/>
  <c r="W43"/>
  <c r="E7" i="12"/>
  <c r="C17"/>
  <c r="C20" i="9"/>
  <c r="C8" i="12"/>
  <c r="D110" i="10"/>
  <c r="S98"/>
  <c r="D98" s="1"/>
  <c r="U98" s="1"/>
  <c r="S102"/>
  <c r="S149"/>
  <c r="S145"/>
  <c r="D145" s="1"/>
  <c r="S153"/>
  <c r="O8" i="11"/>
  <c r="O10"/>
  <c r="O13"/>
  <c r="O17"/>
  <c r="C37" i="12"/>
  <c r="J110" i="10"/>
  <c r="H110" s="1"/>
  <c r="F110" s="1"/>
  <c r="O106"/>
  <c r="H106" s="1"/>
  <c r="Q138"/>
  <c r="Q136"/>
  <c r="S138"/>
  <c r="S136"/>
  <c r="D33" i="5"/>
  <c r="V56" i="10" l="1"/>
  <c r="U138"/>
  <c r="U145"/>
  <c r="D157"/>
  <c r="D153"/>
  <c r="U153" s="1"/>
  <c r="W153" s="1"/>
  <c r="V153" s="1"/>
  <c r="D149"/>
  <c r="C42" i="12"/>
  <c r="V98" i="10"/>
  <c r="W98"/>
  <c r="C33" i="12"/>
  <c r="U102" i="10"/>
  <c r="F106"/>
  <c r="C22" i="12"/>
  <c r="M17" s="1"/>
  <c r="L17" s="1"/>
  <c r="C43"/>
  <c r="E6"/>
  <c r="E5"/>
  <c r="W52" i="10"/>
  <c r="V52"/>
  <c r="O21" i="11"/>
  <c r="C6" i="9" s="1"/>
  <c r="C15"/>
  <c r="K5"/>
  <c r="C3" i="12"/>
  <c r="C13"/>
  <c r="D4" i="5"/>
  <c r="D9" s="1"/>
  <c r="D5" l="1"/>
  <c r="D6"/>
  <c r="D8"/>
  <c r="K6" i="9"/>
  <c r="C16"/>
  <c r="C4" i="12"/>
  <c r="V102" i="10"/>
  <c r="W102"/>
  <c r="W145"/>
  <c r="V145"/>
  <c r="C12" i="12"/>
  <c r="U157" i="10"/>
  <c r="U149"/>
  <c r="C32" i="12"/>
  <c r="K12" l="1"/>
  <c r="W157" i="10"/>
  <c r="V157"/>
  <c r="W149"/>
  <c r="V149"/>
  <c r="U159"/>
  <c r="Q29" i="3"/>
  <c r="W159" i="10" l="1"/>
  <c r="V159"/>
  <c r="Y145" l="1"/>
  <c r="Z145" s="1"/>
  <c r="F3" i="12"/>
  <c r="P17" i="3" l="1"/>
  <c r="Q30" s="1"/>
  <c r="E17"/>
  <c r="F30" s="1"/>
  <c r="E16" l="1"/>
  <c r="F29" s="1"/>
  <c r="P15" l="1"/>
  <c r="Q28" s="1"/>
  <c r="E15" l="1"/>
  <c r="F28" s="1"/>
  <c r="P14" l="1"/>
  <c r="Q27" s="1"/>
  <c r="E14" l="1"/>
  <c r="F27" s="1"/>
  <c r="P13" l="1"/>
  <c r="Q26" s="1"/>
  <c r="E13" l="1"/>
  <c r="F26" s="1"/>
  <c r="G3" l="1"/>
  <c r="E19" l="1"/>
  <c r="F32" s="1"/>
  <c r="P19"/>
  <c r="Q32" s="1"/>
  <c r="P18"/>
  <c r="Q31" s="1"/>
  <c r="E18"/>
  <c r="F31" s="1"/>
  <c r="K41" i="2"/>
  <c r="K40" l="1"/>
  <c r="K39"/>
  <c r="K27" l="1"/>
  <c r="D27" l="1"/>
  <c r="D28" s="1"/>
  <c r="D29" s="1"/>
  <c r="D30" s="1"/>
  <c r="D31" s="1"/>
  <c r="D26"/>
  <c r="K16" l="1"/>
  <c r="D15" l="1"/>
  <c r="E9"/>
  <c r="F9" s="1"/>
  <c r="N10" s="1"/>
  <c r="E8"/>
  <c r="F8" s="1"/>
  <c r="N9" s="1"/>
  <c r="E7"/>
  <c r="F7" s="1"/>
  <c r="N8" s="1"/>
  <c r="E6"/>
  <c r="F6" s="1"/>
  <c r="N7" s="1"/>
  <c r="E5"/>
  <c r="F5" s="1"/>
  <c r="N6" s="1"/>
  <c r="E4"/>
  <c r="F4" s="1"/>
  <c r="N34" i="16"/>
  <c r="N33"/>
  <c r="E32"/>
  <c r="N32"/>
  <c r="E31"/>
  <c r="N31"/>
  <c r="E29"/>
  <c r="E28"/>
  <c r="N28"/>
  <c r="E27"/>
  <c r="E26"/>
  <c r="E25"/>
  <c r="H24"/>
  <c r="Q24"/>
  <c r="D38" i="2" l="1"/>
  <c r="D16"/>
  <c r="E10"/>
  <c r="N16" i="16"/>
  <c r="E15"/>
  <c r="E34" s="1"/>
  <c r="N15"/>
  <c r="E14"/>
  <c r="E33" s="1"/>
  <c r="N14"/>
  <c r="E13"/>
  <c r="N13"/>
  <c r="F10" i="2" l="1"/>
  <c r="N5"/>
  <c r="D39"/>
  <c r="D17"/>
  <c r="E10" i="16"/>
  <c r="X8"/>
  <c r="X7"/>
  <c r="Q6"/>
  <c r="AA5"/>
  <c r="H5"/>
  <c r="AA4"/>
  <c r="T313" i="15"/>
  <c r="R313"/>
  <c r="O313"/>
  <c r="M313"/>
  <c r="J313"/>
  <c r="H313"/>
  <c r="E313"/>
  <c r="C313"/>
  <c r="T311"/>
  <c r="R311"/>
  <c r="O311"/>
  <c r="M311"/>
  <c r="J311"/>
  <c r="H311"/>
  <c r="E311"/>
  <c r="C311"/>
  <c r="U310"/>
  <c r="T310"/>
  <c r="S310"/>
  <c r="R310"/>
  <c r="P310"/>
  <c r="O310"/>
  <c r="N310"/>
  <c r="M310"/>
  <c r="K310"/>
  <c r="J310"/>
  <c r="I310"/>
  <c r="H310"/>
  <c r="F310"/>
  <c r="E310"/>
  <c r="D310"/>
  <c r="C310"/>
  <c r="U309"/>
  <c r="T309"/>
  <c r="S309"/>
  <c r="R309"/>
  <c r="P309"/>
  <c r="O309"/>
  <c r="N309"/>
  <c r="M309"/>
  <c r="K309"/>
  <c r="J309"/>
  <c r="I309"/>
  <c r="H309"/>
  <c r="F309"/>
  <c r="E309"/>
  <c r="D309"/>
  <c r="C309"/>
  <c r="T299"/>
  <c r="R299"/>
  <c r="O299"/>
  <c r="M299"/>
  <c r="J299"/>
  <c r="H299"/>
  <c r="E299"/>
  <c r="C299"/>
  <c r="U297"/>
  <c r="T297"/>
  <c r="S297"/>
  <c r="R297"/>
  <c r="P297"/>
  <c r="O297"/>
  <c r="N297"/>
  <c r="M297"/>
  <c r="K297"/>
  <c r="J297"/>
  <c r="I297"/>
  <c r="H297"/>
  <c r="F297"/>
  <c r="E297"/>
  <c r="D297"/>
  <c r="C297"/>
  <c r="U296"/>
  <c r="T296"/>
  <c r="S296"/>
  <c r="R296"/>
  <c r="P296"/>
  <c r="O296"/>
  <c r="N296"/>
  <c r="M296"/>
  <c r="K296"/>
  <c r="J296"/>
  <c r="I296"/>
  <c r="H296"/>
  <c r="F296"/>
  <c r="E296"/>
  <c r="D296"/>
  <c r="C296"/>
  <c r="T287"/>
  <c r="R287"/>
  <c r="O287"/>
  <c r="M287"/>
  <c r="J287"/>
  <c r="H287"/>
  <c r="E287"/>
  <c r="C287"/>
  <c r="U285"/>
  <c r="T285"/>
  <c r="S285"/>
  <c r="R285"/>
  <c r="P285"/>
  <c r="O285"/>
  <c r="N285"/>
  <c r="M285"/>
  <c r="K285"/>
  <c r="J285"/>
  <c r="I285"/>
  <c r="H285"/>
  <c r="F285"/>
  <c r="E285"/>
  <c r="D285"/>
  <c r="C285"/>
  <c r="U284"/>
  <c r="T284"/>
  <c r="S284"/>
  <c r="R284"/>
  <c r="P284"/>
  <c r="O284"/>
  <c r="N284"/>
  <c r="M284"/>
  <c r="K284"/>
  <c r="J284"/>
  <c r="I284"/>
  <c r="H284"/>
  <c r="F284"/>
  <c r="E284"/>
  <c r="D284"/>
  <c r="C284"/>
  <c r="T275"/>
  <c r="R275"/>
  <c r="O275"/>
  <c r="M275"/>
  <c r="J275"/>
  <c r="H275"/>
  <c r="E275"/>
  <c r="C275"/>
  <c r="T274"/>
  <c r="R274"/>
  <c r="O274"/>
  <c r="M274"/>
  <c r="J274"/>
  <c r="H274"/>
  <c r="E274"/>
  <c r="C274"/>
  <c r="U272"/>
  <c r="T272"/>
  <c r="S272"/>
  <c r="R272"/>
  <c r="P272"/>
  <c r="O272"/>
  <c r="N272"/>
  <c r="M272"/>
  <c r="K272"/>
  <c r="J272"/>
  <c r="I272"/>
  <c r="H272"/>
  <c r="F272"/>
  <c r="E272"/>
  <c r="D272"/>
  <c r="C272"/>
  <c r="U271"/>
  <c r="T271"/>
  <c r="S271"/>
  <c r="R271"/>
  <c r="P271"/>
  <c r="O271"/>
  <c r="N271"/>
  <c r="M271"/>
  <c r="K271"/>
  <c r="J271"/>
  <c r="I271"/>
  <c r="H271"/>
  <c r="F271"/>
  <c r="E271"/>
  <c r="D271"/>
  <c r="C271"/>
  <c r="D40" i="2" l="1"/>
  <c r="D18"/>
  <c r="T262" i="15"/>
  <c r="R262"/>
  <c r="O262"/>
  <c r="M262"/>
  <c r="J262"/>
  <c r="H262"/>
  <c r="E262"/>
  <c r="C262"/>
  <c r="T260"/>
  <c r="R260"/>
  <c r="O260"/>
  <c r="M260"/>
  <c r="J260"/>
  <c r="H260"/>
  <c r="E260"/>
  <c r="C260"/>
  <c r="U259"/>
  <c r="T259"/>
  <c r="S259"/>
  <c r="R259"/>
  <c r="P259"/>
  <c r="O259"/>
  <c r="N259"/>
  <c r="M259"/>
  <c r="K259"/>
  <c r="J259"/>
  <c r="I259"/>
  <c r="H259"/>
  <c r="F259"/>
  <c r="E259"/>
  <c r="D259"/>
  <c r="C259"/>
  <c r="U258"/>
  <c r="T258"/>
  <c r="S258"/>
  <c r="R258"/>
  <c r="P258"/>
  <c r="O258"/>
  <c r="N258"/>
  <c r="M258"/>
  <c r="K258"/>
  <c r="J258"/>
  <c r="I258"/>
  <c r="H258"/>
  <c r="F258"/>
  <c r="E258"/>
  <c r="D258"/>
  <c r="C258"/>
  <c r="T249"/>
  <c r="R249"/>
  <c r="O249"/>
  <c r="M249"/>
  <c r="J249"/>
  <c r="H249"/>
  <c r="E249"/>
  <c r="C249"/>
  <c r="T248"/>
  <c r="R248"/>
  <c r="O248"/>
  <c r="M248"/>
  <c r="J248"/>
  <c r="H248"/>
  <c r="E248"/>
  <c r="C248"/>
  <c r="U246"/>
  <c r="T246"/>
  <c r="S246"/>
  <c r="R246"/>
  <c r="P246"/>
  <c r="O246"/>
  <c r="N246"/>
  <c r="M246"/>
  <c r="K246"/>
  <c r="J246"/>
  <c r="I246"/>
  <c r="H246"/>
  <c r="F246"/>
  <c r="E246"/>
  <c r="D246"/>
  <c r="C246"/>
  <c r="U245"/>
  <c r="T245"/>
  <c r="S245"/>
  <c r="R245"/>
  <c r="P245"/>
  <c r="O245"/>
  <c r="N245"/>
  <c r="M245"/>
  <c r="K245"/>
  <c r="J245"/>
  <c r="I245"/>
  <c r="H245"/>
  <c r="F245"/>
  <c r="E245"/>
  <c r="D245"/>
  <c r="C245"/>
  <c r="T237"/>
  <c r="R237"/>
  <c r="O237"/>
  <c r="M237"/>
  <c r="J237"/>
  <c r="H237"/>
  <c r="E237"/>
  <c r="C237"/>
  <c r="T235"/>
  <c r="R235"/>
  <c r="O235"/>
  <c r="M235"/>
  <c r="J235"/>
  <c r="H235"/>
  <c r="E235"/>
  <c r="C235"/>
  <c r="U234"/>
  <c r="T234"/>
  <c r="S234"/>
  <c r="R234"/>
  <c r="P234"/>
  <c r="O234"/>
  <c r="N234"/>
  <c r="M234"/>
  <c r="K234"/>
  <c r="J234"/>
  <c r="I234"/>
  <c r="H234"/>
  <c r="F234"/>
  <c r="E234"/>
  <c r="D234"/>
  <c r="C234"/>
  <c r="U233"/>
  <c r="T233"/>
  <c r="S233"/>
  <c r="R233"/>
  <c r="P233"/>
  <c r="O233"/>
  <c r="N233"/>
  <c r="M233"/>
  <c r="K233"/>
  <c r="J233"/>
  <c r="I233"/>
  <c r="H233"/>
  <c r="F233"/>
  <c r="E233"/>
  <c r="D233"/>
  <c r="C233"/>
  <c r="Q232"/>
  <c r="L232"/>
  <c r="G232"/>
  <c r="B232"/>
  <c r="T224"/>
  <c r="R224"/>
  <c r="O224"/>
  <c r="M224"/>
  <c r="J224"/>
  <c r="H224"/>
  <c r="E224"/>
  <c r="C224"/>
  <c r="T223"/>
  <c r="R223"/>
  <c r="O223"/>
  <c r="M223"/>
  <c r="J223"/>
  <c r="H223"/>
  <c r="E223"/>
  <c r="C223"/>
  <c r="U221"/>
  <c r="T221"/>
  <c r="S221"/>
  <c r="R221"/>
  <c r="P221"/>
  <c r="O221"/>
  <c r="N221"/>
  <c r="M221"/>
  <c r="K221"/>
  <c r="J221"/>
  <c r="I221"/>
  <c r="H221"/>
  <c r="F221"/>
  <c r="E221"/>
  <c r="D221"/>
  <c r="C221"/>
  <c r="U220"/>
  <c r="T220"/>
  <c r="S220"/>
  <c r="R220"/>
  <c r="P220"/>
  <c r="O220"/>
  <c r="N220"/>
  <c r="M220"/>
  <c r="K220"/>
  <c r="J220"/>
  <c r="I220"/>
  <c r="H220"/>
  <c r="F220"/>
  <c r="E220"/>
  <c r="D220"/>
  <c r="C220"/>
  <c r="Q219"/>
  <c r="L219"/>
  <c r="G219"/>
  <c r="B219"/>
  <c r="T210"/>
  <c r="R210"/>
  <c r="O210"/>
  <c r="M210"/>
  <c r="J210"/>
  <c r="H210"/>
  <c r="E210"/>
  <c r="C210"/>
  <c r="U208"/>
  <c r="T208"/>
  <c r="S208"/>
  <c r="R208"/>
  <c r="P208"/>
  <c r="O208"/>
  <c r="N208"/>
  <c r="M208"/>
  <c r="K208"/>
  <c r="J208"/>
  <c r="I208"/>
  <c r="H208"/>
  <c r="F208"/>
  <c r="E208"/>
  <c r="D208"/>
  <c r="C208"/>
  <c r="U207"/>
  <c r="T207"/>
  <c r="S207"/>
  <c r="R207"/>
  <c r="P207"/>
  <c r="O207"/>
  <c r="N207"/>
  <c r="M207"/>
  <c r="K207"/>
  <c r="J207"/>
  <c r="I207"/>
  <c r="H207"/>
  <c r="D41" i="2" l="1"/>
  <c r="D19"/>
  <c r="F206" i="15"/>
  <c r="E206"/>
  <c r="D206"/>
  <c r="C206"/>
  <c r="D42" i="2" l="1"/>
  <c r="D20"/>
  <c r="D43" s="1"/>
  <c r="T199" i="15"/>
  <c r="R199"/>
  <c r="O199"/>
  <c r="M199"/>
  <c r="J199"/>
  <c r="H199"/>
  <c r="E199"/>
  <c r="C199"/>
  <c r="T197"/>
  <c r="R197"/>
  <c r="O197"/>
  <c r="M197"/>
  <c r="J197"/>
  <c r="H197"/>
  <c r="E197"/>
  <c r="C197"/>
  <c r="U196"/>
  <c r="T196"/>
  <c r="S196"/>
  <c r="R196"/>
  <c r="P196"/>
  <c r="O196"/>
  <c r="N196"/>
  <c r="M196"/>
  <c r="K196"/>
  <c r="J196"/>
  <c r="I196"/>
  <c r="H196"/>
  <c r="F196"/>
  <c r="E196"/>
  <c r="D196"/>
  <c r="C196"/>
  <c r="B194" l="1"/>
  <c r="E186"/>
  <c r="C186"/>
  <c r="T185"/>
  <c r="R185"/>
  <c r="O185"/>
  <c r="M185"/>
  <c r="J185"/>
  <c r="H185"/>
  <c r="E185"/>
  <c r="C185"/>
  <c r="U183"/>
  <c r="T183"/>
  <c r="S183"/>
  <c r="R183"/>
  <c r="P183"/>
  <c r="O183"/>
  <c r="N183"/>
  <c r="M183"/>
  <c r="K183"/>
  <c r="J183"/>
  <c r="I183"/>
  <c r="H183"/>
  <c r="F183"/>
  <c r="E183"/>
  <c r="D183"/>
  <c r="C183"/>
  <c r="Q181"/>
  <c r="L181"/>
  <c r="G181"/>
  <c r="B181"/>
  <c r="E174" l="1"/>
  <c r="C174"/>
  <c r="T172"/>
  <c r="R172"/>
  <c r="O172"/>
  <c r="M172"/>
  <c r="J172"/>
  <c r="H172"/>
  <c r="E172"/>
  <c r="C172"/>
  <c r="U171"/>
  <c r="T171"/>
  <c r="S171"/>
  <c r="R171"/>
  <c r="P171"/>
  <c r="O171"/>
  <c r="N171"/>
  <c r="M171"/>
  <c r="K171"/>
  <c r="J171"/>
  <c r="I171"/>
  <c r="H171"/>
  <c r="F171"/>
  <c r="E171"/>
  <c r="D171"/>
  <c r="C171"/>
  <c r="B170"/>
  <c r="Q169"/>
  <c r="L169"/>
  <c r="G169"/>
  <c r="B169"/>
  <c r="E161"/>
  <c r="C161"/>
  <c r="T160"/>
  <c r="R160"/>
  <c r="O160"/>
  <c r="M160"/>
  <c r="J160"/>
  <c r="H160"/>
  <c r="E160"/>
  <c r="C160"/>
  <c r="U158"/>
  <c r="T158"/>
  <c r="S158"/>
  <c r="R158"/>
  <c r="P158"/>
  <c r="O158"/>
  <c r="N158"/>
  <c r="M158"/>
  <c r="K158"/>
  <c r="J158"/>
  <c r="I158"/>
  <c r="H158"/>
  <c r="F158"/>
  <c r="E158"/>
  <c r="D158"/>
  <c r="C158"/>
  <c r="U157"/>
  <c r="T157"/>
  <c r="S157"/>
  <c r="R157"/>
  <c r="P157"/>
  <c r="O157"/>
  <c r="N157"/>
  <c r="M157"/>
  <c r="K157"/>
  <c r="J157"/>
  <c r="I157"/>
  <c r="H157"/>
  <c r="Q156"/>
  <c r="L156"/>
  <c r="G156"/>
  <c r="B156"/>
  <c r="E149"/>
  <c r="C149"/>
  <c r="T148"/>
  <c r="R148"/>
  <c r="O148"/>
  <c r="M148"/>
  <c r="J148"/>
  <c r="H148"/>
  <c r="E148"/>
  <c r="C148"/>
  <c r="U146"/>
  <c r="T146"/>
  <c r="S146"/>
  <c r="R146"/>
  <c r="P146"/>
  <c r="O146"/>
  <c r="N146"/>
  <c r="M146"/>
  <c r="K146"/>
  <c r="J146"/>
  <c r="I146"/>
  <c r="H146"/>
  <c r="F146"/>
  <c r="E146"/>
  <c r="D146"/>
  <c r="C146"/>
  <c r="Q144"/>
  <c r="L144"/>
  <c r="G144"/>
  <c r="B144"/>
  <c r="T135"/>
  <c r="R135"/>
  <c r="O135"/>
  <c r="M135"/>
  <c r="J135"/>
  <c r="H135"/>
  <c r="B135" l="1"/>
  <c r="Q133"/>
  <c r="L133"/>
  <c r="G133"/>
  <c r="B133"/>
  <c r="U132"/>
  <c r="T132"/>
  <c r="S132"/>
  <c r="R132"/>
  <c r="P132"/>
  <c r="O132"/>
  <c r="N132"/>
  <c r="M132"/>
  <c r="K132"/>
  <c r="J132"/>
  <c r="I132"/>
  <c r="H132"/>
  <c r="F132"/>
  <c r="E132"/>
  <c r="D132"/>
  <c r="C132"/>
  <c r="Q131"/>
  <c r="L131"/>
  <c r="G131"/>
  <c r="B131"/>
  <c r="T123"/>
  <c r="R123"/>
  <c r="O123"/>
  <c r="M123"/>
  <c r="J123"/>
  <c r="H123"/>
  <c r="E123"/>
  <c r="C123"/>
  <c r="Q122"/>
  <c r="L122"/>
  <c r="G122"/>
  <c r="B122"/>
  <c r="U120"/>
  <c r="T120"/>
  <c r="S120"/>
  <c r="R120"/>
  <c r="P120"/>
  <c r="O120"/>
  <c r="N120"/>
  <c r="M120"/>
  <c r="K120"/>
  <c r="J120"/>
  <c r="I120"/>
  <c r="H120"/>
  <c r="F120"/>
  <c r="E120"/>
  <c r="D120"/>
  <c r="C120"/>
  <c r="U119"/>
  <c r="T119"/>
  <c r="S119"/>
  <c r="R119"/>
  <c r="P119"/>
  <c r="O119"/>
  <c r="N119"/>
  <c r="M119"/>
  <c r="K119"/>
  <c r="J119"/>
  <c r="I119"/>
  <c r="H119"/>
  <c r="F119"/>
  <c r="E119"/>
  <c r="D119"/>
  <c r="C119"/>
  <c r="Q118"/>
  <c r="L118"/>
  <c r="G118"/>
  <c r="B118"/>
  <c r="T110"/>
  <c r="R110"/>
  <c r="O110"/>
  <c r="M110"/>
  <c r="J110"/>
  <c r="H110"/>
  <c r="E110"/>
  <c r="C110"/>
  <c r="T109"/>
  <c r="R109"/>
  <c r="O109"/>
  <c r="M109"/>
  <c r="J109"/>
  <c r="H109"/>
  <c r="E109"/>
  <c r="C109"/>
  <c r="U107"/>
  <c r="T107"/>
  <c r="S107"/>
  <c r="R107"/>
  <c r="P107"/>
  <c r="O107"/>
  <c r="N107"/>
  <c r="M107"/>
  <c r="K107"/>
  <c r="J107"/>
  <c r="I107"/>
  <c r="H107"/>
  <c r="F107"/>
  <c r="E107"/>
  <c r="D107"/>
  <c r="C107"/>
  <c r="U106"/>
  <c r="T106"/>
  <c r="S106"/>
  <c r="R106"/>
  <c r="P106"/>
  <c r="O106"/>
  <c r="N106"/>
  <c r="M106"/>
  <c r="K106"/>
  <c r="J106"/>
  <c r="I106"/>
  <c r="H106"/>
  <c r="F106"/>
  <c r="E106"/>
  <c r="D106"/>
  <c r="C106"/>
  <c r="Q105"/>
  <c r="L105"/>
  <c r="G105"/>
  <c r="B105"/>
  <c r="T98"/>
  <c r="R98"/>
  <c r="O98"/>
  <c r="M98"/>
  <c r="J98"/>
  <c r="H98"/>
  <c r="E98"/>
  <c r="C98"/>
  <c r="T97"/>
  <c r="R97"/>
  <c r="O97"/>
  <c r="M97"/>
  <c r="J97"/>
  <c r="H97"/>
  <c r="E97"/>
  <c r="C97"/>
  <c r="U95"/>
  <c r="T95"/>
  <c r="S95"/>
  <c r="R95"/>
  <c r="P95"/>
  <c r="O95"/>
  <c r="N95"/>
  <c r="M95"/>
  <c r="K95"/>
  <c r="J95"/>
  <c r="I95"/>
  <c r="H95"/>
  <c r="F95"/>
  <c r="E95"/>
  <c r="D95"/>
  <c r="C95"/>
  <c r="U94"/>
  <c r="T94"/>
  <c r="S94"/>
  <c r="R94"/>
  <c r="P94"/>
  <c r="O94"/>
  <c r="N94"/>
  <c r="M94"/>
  <c r="K94"/>
  <c r="J94"/>
  <c r="I94"/>
  <c r="H94"/>
  <c r="F94"/>
  <c r="E94"/>
  <c r="D94"/>
  <c r="C94"/>
  <c r="Q93"/>
  <c r="L93"/>
  <c r="G93"/>
  <c r="B93"/>
  <c r="T84" l="1"/>
  <c r="R84"/>
  <c r="O84"/>
  <c r="M84"/>
  <c r="J84"/>
  <c r="H84"/>
  <c r="E84"/>
  <c r="C84"/>
  <c r="Q83"/>
  <c r="L83"/>
  <c r="G83"/>
  <c r="B83"/>
  <c r="U81"/>
  <c r="T81"/>
  <c r="S81"/>
  <c r="R81"/>
  <c r="P81"/>
  <c r="O81"/>
  <c r="N81"/>
  <c r="M81"/>
  <c r="K81"/>
  <c r="J81"/>
  <c r="I81"/>
  <c r="H81"/>
  <c r="F81"/>
  <c r="E81"/>
  <c r="D81"/>
  <c r="C81"/>
  <c r="T73" l="1"/>
  <c r="R73"/>
  <c r="O73"/>
  <c r="M73"/>
  <c r="J73"/>
  <c r="H73"/>
  <c r="E73"/>
  <c r="C73"/>
  <c r="T71"/>
  <c r="R71"/>
  <c r="O71"/>
  <c r="M71"/>
  <c r="J71"/>
  <c r="H71"/>
  <c r="E71"/>
  <c r="C71"/>
  <c r="U70"/>
  <c r="T70"/>
  <c r="S70"/>
  <c r="R70"/>
  <c r="P70"/>
  <c r="O70"/>
  <c r="N70"/>
  <c r="M70"/>
  <c r="K70"/>
  <c r="J70"/>
  <c r="I70"/>
  <c r="H70"/>
  <c r="F70"/>
  <c r="E70"/>
  <c r="D70"/>
  <c r="C70"/>
  <c r="U69"/>
  <c r="T69"/>
  <c r="S69"/>
  <c r="R69"/>
  <c r="P69"/>
  <c r="O69"/>
  <c r="N69"/>
  <c r="M69"/>
  <c r="K69"/>
  <c r="J69"/>
  <c r="I69"/>
  <c r="H69"/>
  <c r="F69"/>
  <c r="E69"/>
  <c r="D69"/>
  <c r="C69"/>
  <c r="Q68"/>
  <c r="L68"/>
  <c r="G68"/>
  <c r="B68"/>
  <c r="T61"/>
  <c r="R61"/>
  <c r="O61"/>
  <c r="M61"/>
  <c r="J61"/>
  <c r="H61"/>
  <c r="E61"/>
  <c r="C61"/>
  <c r="T60"/>
  <c r="R60"/>
  <c r="O60"/>
  <c r="M60"/>
  <c r="J60"/>
  <c r="H60"/>
  <c r="E60"/>
  <c r="C60"/>
  <c r="U58"/>
  <c r="T58"/>
  <c r="S58"/>
  <c r="R58"/>
  <c r="P58"/>
  <c r="O58"/>
  <c r="N58"/>
  <c r="M58"/>
  <c r="K58"/>
  <c r="J58"/>
  <c r="I58"/>
  <c r="H58"/>
  <c r="F58"/>
  <c r="E58"/>
  <c r="D58"/>
  <c r="C58"/>
  <c r="U57"/>
  <c r="T57"/>
  <c r="S57"/>
  <c r="R57"/>
  <c r="P57"/>
  <c r="O57"/>
  <c r="N57"/>
  <c r="M57"/>
  <c r="K57"/>
  <c r="J57"/>
  <c r="I57"/>
  <c r="H57"/>
  <c r="F57"/>
  <c r="E57"/>
  <c r="D57"/>
  <c r="C57"/>
  <c r="Q56"/>
  <c r="L56"/>
  <c r="G56"/>
  <c r="B56"/>
  <c r="T49"/>
  <c r="R49"/>
  <c r="O49"/>
  <c r="M49"/>
  <c r="J49"/>
  <c r="H49"/>
  <c r="E49"/>
  <c r="C49"/>
  <c r="T48"/>
  <c r="R48"/>
  <c r="O48"/>
  <c r="M48"/>
  <c r="J48"/>
  <c r="H48"/>
  <c r="E48"/>
  <c r="C48"/>
  <c r="U46"/>
  <c r="T46"/>
  <c r="S46"/>
  <c r="R46"/>
  <c r="P46"/>
  <c r="O46"/>
  <c r="N46"/>
  <c r="M46"/>
  <c r="K46"/>
  <c r="J46"/>
  <c r="I46"/>
  <c r="H46"/>
  <c r="F46"/>
  <c r="E46"/>
  <c r="D46"/>
  <c r="C46"/>
  <c r="U45"/>
  <c r="T45"/>
  <c r="S45"/>
  <c r="R45"/>
  <c r="P45"/>
  <c r="O45"/>
  <c r="N45"/>
  <c r="M45"/>
  <c r="K45"/>
  <c r="J45"/>
  <c r="I45"/>
  <c r="H45"/>
  <c r="F45"/>
  <c r="E45"/>
  <c r="D45"/>
  <c r="C45"/>
  <c r="E36"/>
  <c r="C36"/>
  <c r="T35"/>
  <c r="R35"/>
  <c r="O35"/>
  <c r="M35"/>
  <c r="J35"/>
  <c r="H35"/>
  <c r="E35"/>
  <c r="C35"/>
  <c r="U33" l="1"/>
  <c r="T33"/>
  <c r="S33"/>
  <c r="R33"/>
  <c r="P33"/>
  <c r="O33"/>
  <c r="N33"/>
  <c r="M33"/>
  <c r="K33"/>
  <c r="J33"/>
  <c r="I33"/>
  <c r="H33"/>
  <c r="F33"/>
  <c r="E33"/>
  <c r="D33"/>
  <c r="C33"/>
  <c r="U32"/>
  <c r="T32"/>
  <c r="S32"/>
  <c r="R32"/>
  <c r="L32"/>
  <c r="G32"/>
  <c r="B32" l="1"/>
  <c r="Q31" l="1"/>
  <c r="L31"/>
  <c r="G31"/>
  <c r="B31" l="1"/>
  <c r="E24" l="1"/>
  <c r="C24"/>
  <c r="T23"/>
  <c r="R23"/>
  <c r="O23"/>
  <c r="M23"/>
  <c r="J23"/>
  <c r="H23"/>
  <c r="E23"/>
  <c r="C23"/>
  <c r="U21"/>
  <c r="T21"/>
  <c r="S21"/>
  <c r="R21"/>
  <c r="P21"/>
  <c r="O21"/>
  <c r="N21"/>
  <c r="M21"/>
  <c r="K21"/>
  <c r="J21"/>
  <c r="I21"/>
  <c r="H21"/>
  <c r="F21"/>
  <c r="E21"/>
  <c r="D21"/>
  <c r="C21"/>
  <c r="U20"/>
  <c r="T20"/>
  <c r="S20"/>
  <c r="R20"/>
  <c r="L20"/>
  <c r="G20"/>
  <c r="B20"/>
  <c r="Q19"/>
  <c r="L19"/>
  <c r="G19"/>
  <c r="B19"/>
  <c r="E12"/>
  <c r="C12"/>
  <c r="T11"/>
  <c r="R11"/>
  <c r="O11"/>
  <c r="M11"/>
  <c r="J11"/>
  <c r="H11"/>
  <c r="E11"/>
  <c r="C11"/>
  <c r="U9"/>
  <c r="T9"/>
  <c r="S9"/>
  <c r="R9"/>
  <c r="P9"/>
  <c r="O9"/>
  <c r="N9"/>
  <c r="M9"/>
  <c r="K9"/>
  <c r="J9"/>
  <c r="I9"/>
  <c r="H9"/>
  <c r="F9"/>
  <c r="E9"/>
  <c r="D9"/>
  <c r="C9"/>
  <c r="U8"/>
  <c r="T8"/>
  <c r="S8"/>
  <c r="R8"/>
  <c r="P8"/>
  <c r="O8"/>
  <c r="N8"/>
  <c r="M8"/>
  <c r="K8"/>
  <c r="J8"/>
  <c r="I8"/>
  <c r="H8"/>
  <c r="F7"/>
  <c r="E7"/>
  <c r="D7"/>
  <c r="C7"/>
  <c r="D19" i="14"/>
  <c r="G19" s="1"/>
  <c r="G18"/>
  <c r="D18"/>
  <c r="M18" s="1"/>
  <c r="D17"/>
  <c r="G17" s="1"/>
  <c r="K18" l="1"/>
  <c r="I18" s="1"/>
  <c r="K17"/>
  <c r="M19"/>
  <c r="H14" i="16" s="1"/>
  <c r="Q32"/>
  <c r="H32"/>
  <c r="Q15"/>
  <c r="H33"/>
  <c r="M17" i="14"/>
  <c r="Q33" i="16" s="1"/>
  <c r="I17" i="14"/>
  <c r="K19"/>
  <c r="I19" s="1"/>
  <c r="H13" i="16" l="1"/>
  <c r="Q14"/>
  <c r="D16" i="14"/>
  <c r="D15"/>
  <c r="G15" s="1"/>
  <c r="K15" s="1"/>
  <c r="D13"/>
  <c r="I13" s="1"/>
  <c r="G12"/>
  <c r="D12"/>
  <c r="I12" s="1"/>
  <c r="L11"/>
  <c r="M15" l="1"/>
  <c r="I15"/>
  <c r="K13"/>
  <c r="M13"/>
  <c r="H26" i="16" s="1"/>
  <c r="E286" i="15"/>
  <c r="E273"/>
  <c r="E298"/>
  <c r="J286"/>
  <c r="J273"/>
  <c r="J298"/>
  <c r="E222"/>
  <c r="J222"/>
  <c r="J247"/>
  <c r="E209"/>
  <c r="E247"/>
  <c r="J209"/>
  <c r="J184"/>
  <c r="E184"/>
  <c r="E147"/>
  <c r="J147"/>
  <c r="E159"/>
  <c r="J159"/>
  <c r="E134"/>
  <c r="J134"/>
  <c r="E121"/>
  <c r="E108"/>
  <c r="E96"/>
  <c r="J121"/>
  <c r="J108"/>
  <c r="J96"/>
  <c r="E34"/>
  <c r="J47"/>
  <c r="E59"/>
  <c r="E47"/>
  <c r="J34"/>
  <c r="J59"/>
  <c r="E10"/>
  <c r="J22"/>
  <c r="J10"/>
  <c r="E22"/>
  <c r="K16" i="14"/>
  <c r="M16"/>
  <c r="G16"/>
  <c r="I16"/>
  <c r="G13"/>
  <c r="O298" i="15"/>
  <c r="T273"/>
  <c r="T298"/>
  <c r="O286"/>
  <c r="O273"/>
  <c r="T286"/>
  <c r="O209"/>
  <c r="O222"/>
  <c r="O247"/>
  <c r="T209"/>
  <c r="T247"/>
  <c r="T222"/>
  <c r="O184"/>
  <c r="T184"/>
  <c r="O159"/>
  <c r="T159"/>
  <c r="O147"/>
  <c r="T147"/>
  <c r="T121"/>
  <c r="O121"/>
  <c r="O108"/>
  <c r="T108"/>
  <c r="T96"/>
  <c r="T134"/>
  <c r="O96"/>
  <c r="O134"/>
  <c r="T59"/>
  <c r="T47"/>
  <c r="O47"/>
  <c r="T34"/>
  <c r="O34"/>
  <c r="O59"/>
  <c r="T10"/>
  <c r="O22"/>
  <c r="O10"/>
  <c r="T22"/>
  <c r="M12" i="14"/>
  <c r="K12"/>
  <c r="C273" i="15"/>
  <c r="H286"/>
  <c r="H273"/>
  <c r="C298"/>
  <c r="H298"/>
  <c r="C286"/>
  <c r="C222"/>
  <c r="C209"/>
  <c r="H209"/>
  <c r="H247"/>
  <c r="H222"/>
  <c r="C247"/>
  <c r="H184"/>
  <c r="C184"/>
  <c r="H147"/>
  <c r="C159"/>
  <c r="C147"/>
  <c r="H159"/>
  <c r="C134"/>
  <c r="H96"/>
  <c r="H134"/>
  <c r="C121"/>
  <c r="C108"/>
  <c r="C96"/>
  <c r="H121"/>
  <c r="H108"/>
  <c r="C59"/>
  <c r="C47"/>
  <c r="H34"/>
  <c r="C34"/>
  <c r="H59"/>
  <c r="H47"/>
  <c r="H22"/>
  <c r="H10"/>
  <c r="C22"/>
  <c r="C10"/>
  <c r="F11" i="14"/>
  <c r="F10"/>
  <c r="H10" s="1"/>
  <c r="D10"/>
  <c r="M9"/>
  <c r="L9"/>
  <c r="K9"/>
  <c r="J9" s="1"/>
  <c r="I9"/>
  <c r="H9"/>
  <c r="G9"/>
  <c r="F8"/>
  <c r="J8" s="1"/>
  <c r="D8"/>
  <c r="G8" s="1"/>
  <c r="K7"/>
  <c r="F7"/>
  <c r="D7" s="1"/>
  <c r="G7" s="1"/>
  <c r="J6"/>
  <c r="F5"/>
  <c r="H5" s="1"/>
  <c r="F4"/>
  <c r="E4"/>
  <c r="D4" s="1"/>
  <c r="G4" s="1"/>
  <c r="M7" l="1"/>
  <c r="H4"/>
  <c r="S308" i="15" s="1"/>
  <c r="S314" s="1"/>
  <c r="Q31" i="16"/>
  <c r="J4" i="14"/>
  <c r="K270" i="15" s="1"/>
  <c r="I7" i="14"/>
  <c r="E244" i="15" s="1"/>
  <c r="H31" i="16"/>
  <c r="Q26"/>
  <c r="K10" i="14"/>
  <c r="J10" s="1"/>
  <c r="P182" i="15" s="1"/>
  <c r="I10" i="14"/>
  <c r="Q13" i="16"/>
  <c r="D5" i="14"/>
  <c r="I4"/>
  <c r="O283" i="15" s="1"/>
  <c r="C270"/>
  <c r="C295"/>
  <c r="C308"/>
  <c r="C257"/>
  <c r="C219"/>
  <c r="C244"/>
  <c r="C232"/>
  <c r="C194"/>
  <c r="C181"/>
  <c r="C169"/>
  <c r="C156"/>
  <c r="C144"/>
  <c r="C93"/>
  <c r="C105"/>
  <c r="C131"/>
  <c r="C118"/>
  <c r="C44"/>
  <c r="C56"/>
  <c r="C68"/>
  <c r="C31"/>
  <c r="C19"/>
  <c r="N308"/>
  <c r="N314" s="1"/>
  <c r="S31"/>
  <c r="S37" s="1"/>
  <c r="U182"/>
  <c r="K170"/>
  <c r="U145"/>
  <c r="K145"/>
  <c r="P82"/>
  <c r="K32"/>
  <c r="D207"/>
  <c r="D212" s="1"/>
  <c r="D195"/>
  <c r="D182"/>
  <c r="D145"/>
  <c r="D170"/>
  <c r="D157"/>
  <c r="D82"/>
  <c r="D32"/>
  <c r="D20"/>
  <c r="D8"/>
  <c r="M8" i="14"/>
  <c r="K8" s="1"/>
  <c r="C207" i="15"/>
  <c r="C195"/>
  <c r="C182"/>
  <c r="C170"/>
  <c r="C157"/>
  <c r="C145"/>
  <c r="C82"/>
  <c r="C32"/>
  <c r="C20"/>
  <c r="J7" i="14"/>
  <c r="G10"/>
  <c r="U56" i="15"/>
  <c r="U62" s="1"/>
  <c r="E207"/>
  <c r="E182"/>
  <c r="E195"/>
  <c r="E145"/>
  <c r="E170"/>
  <c r="E157"/>
  <c r="E82"/>
  <c r="E32"/>
  <c r="E20"/>
  <c r="O270"/>
  <c r="M270"/>
  <c r="M308"/>
  <c r="R295"/>
  <c r="R270"/>
  <c r="R308"/>
  <c r="H308"/>
  <c r="M295"/>
  <c r="R283"/>
  <c r="H283"/>
  <c r="H270"/>
  <c r="H295"/>
  <c r="M283"/>
  <c r="M257"/>
  <c r="R244"/>
  <c r="H244"/>
  <c r="R257"/>
  <c r="H232"/>
  <c r="H219"/>
  <c r="M232"/>
  <c r="M219"/>
  <c r="H257"/>
  <c r="M244"/>
  <c r="M206"/>
  <c r="R219"/>
  <c r="R206"/>
  <c r="H206"/>
  <c r="R232"/>
  <c r="M194"/>
  <c r="R181"/>
  <c r="M181"/>
  <c r="R194"/>
  <c r="H194"/>
  <c r="M144"/>
  <c r="H181"/>
  <c r="R169"/>
  <c r="H156"/>
  <c r="H144"/>
  <c r="R144"/>
  <c r="M156"/>
  <c r="R131"/>
  <c r="M169"/>
  <c r="H118"/>
  <c r="H105"/>
  <c r="H93"/>
  <c r="R93"/>
  <c r="H169"/>
  <c r="R118"/>
  <c r="R105"/>
  <c r="H131"/>
  <c r="M131"/>
  <c r="M93"/>
  <c r="M105"/>
  <c r="M118"/>
  <c r="M44"/>
  <c r="H68"/>
  <c r="H56"/>
  <c r="R44"/>
  <c r="H44"/>
  <c r="R56"/>
  <c r="M68"/>
  <c r="R68"/>
  <c r="M56"/>
  <c r="M31"/>
  <c r="H31"/>
  <c r="R31"/>
  <c r="M7"/>
  <c r="H19"/>
  <c r="H7"/>
  <c r="R7"/>
  <c r="M19"/>
  <c r="R19"/>
  <c r="R298"/>
  <c r="M273"/>
  <c r="M286"/>
  <c r="R273"/>
  <c r="R286"/>
  <c r="M298"/>
  <c r="M247"/>
  <c r="R209"/>
  <c r="R247"/>
  <c r="M209"/>
  <c r="M222"/>
  <c r="R222"/>
  <c r="M184"/>
  <c r="R184"/>
  <c r="R159"/>
  <c r="M147"/>
  <c r="M159"/>
  <c r="R147"/>
  <c r="R108"/>
  <c r="R96"/>
  <c r="M134"/>
  <c r="M108"/>
  <c r="R134"/>
  <c r="M121"/>
  <c r="M96"/>
  <c r="M34"/>
  <c r="R34"/>
  <c r="R59"/>
  <c r="R47"/>
  <c r="M59"/>
  <c r="M47"/>
  <c r="M22"/>
  <c r="M10"/>
  <c r="R22"/>
  <c r="R10"/>
  <c r="H7" i="14"/>
  <c r="I8"/>
  <c r="H8" s="1"/>
  <c r="AA6" i="16"/>
  <c r="Q8"/>
  <c r="H8" s="1"/>
  <c r="O300" i="15"/>
  <c r="E288"/>
  <c r="O288"/>
  <c r="T300"/>
  <c r="J288"/>
  <c r="E300"/>
  <c r="J300"/>
  <c r="T288"/>
  <c r="O211"/>
  <c r="T211"/>
  <c r="J211"/>
  <c r="E211"/>
  <c r="J186"/>
  <c r="O186"/>
  <c r="T186"/>
  <c r="O161"/>
  <c r="T174"/>
  <c r="J136"/>
  <c r="T161"/>
  <c r="J149"/>
  <c r="O174"/>
  <c r="O136"/>
  <c r="O149"/>
  <c r="E136"/>
  <c r="J174"/>
  <c r="T136"/>
  <c r="J161"/>
  <c r="T149"/>
  <c r="J86"/>
  <c r="E86"/>
  <c r="O86"/>
  <c r="T86"/>
  <c r="T36"/>
  <c r="J36"/>
  <c r="O36"/>
  <c r="T24"/>
  <c r="J12"/>
  <c r="J24"/>
  <c r="O12"/>
  <c r="O24"/>
  <c r="T12"/>
  <c r="N195"/>
  <c r="I182"/>
  <c r="S182"/>
  <c r="N182"/>
  <c r="S195"/>
  <c r="I195"/>
  <c r="S170"/>
  <c r="I170"/>
  <c r="N145"/>
  <c r="N170"/>
  <c r="S145"/>
  <c r="I145"/>
  <c r="S82"/>
  <c r="I82"/>
  <c r="N82"/>
  <c r="N32"/>
  <c r="I32"/>
  <c r="I20"/>
  <c r="D11" i="14"/>
  <c r="H11"/>
  <c r="J11"/>
  <c r="O182" i="15"/>
  <c r="O195"/>
  <c r="J195"/>
  <c r="T182"/>
  <c r="J182"/>
  <c r="T195"/>
  <c r="T170"/>
  <c r="J170"/>
  <c r="O145"/>
  <c r="O170"/>
  <c r="T145"/>
  <c r="J145"/>
  <c r="T82"/>
  <c r="J82"/>
  <c r="O82"/>
  <c r="J32"/>
  <c r="O32"/>
  <c r="J20"/>
  <c r="O20"/>
  <c r="N20" s="1"/>
  <c r="Q29" i="16"/>
  <c r="Q28"/>
  <c r="H29"/>
  <c r="H28"/>
  <c r="H10"/>
  <c r="Q10"/>
  <c r="AA7"/>
  <c r="H11"/>
  <c r="Q11"/>
  <c r="M10" i="14"/>
  <c r="R121" i="15"/>
  <c r="F207"/>
  <c r="F212" s="1"/>
  <c r="F182"/>
  <c r="F195"/>
  <c r="F145"/>
  <c r="F170"/>
  <c r="F157"/>
  <c r="F82"/>
  <c r="F32"/>
  <c r="F8"/>
  <c r="F20"/>
  <c r="C288"/>
  <c r="R300"/>
  <c r="H288"/>
  <c r="M300"/>
  <c r="C300"/>
  <c r="M288"/>
  <c r="H300"/>
  <c r="R288"/>
  <c r="R211"/>
  <c r="H211"/>
  <c r="C211"/>
  <c r="M211"/>
  <c r="H186"/>
  <c r="M186"/>
  <c r="R186"/>
  <c r="R174"/>
  <c r="H136"/>
  <c r="M136"/>
  <c r="C136"/>
  <c r="R161"/>
  <c r="H149"/>
  <c r="M149"/>
  <c r="H174"/>
  <c r="R136"/>
  <c r="M161"/>
  <c r="H161"/>
  <c r="R149"/>
  <c r="M174"/>
  <c r="M86"/>
  <c r="R86"/>
  <c r="H86"/>
  <c r="C86"/>
  <c r="M36"/>
  <c r="R36"/>
  <c r="H36"/>
  <c r="R12"/>
  <c r="H24"/>
  <c r="M12"/>
  <c r="M24"/>
  <c r="H12"/>
  <c r="R24"/>
  <c r="I308" l="1"/>
  <c r="I314" s="1"/>
  <c r="E56"/>
  <c r="U131"/>
  <c r="I44"/>
  <c r="I50" s="1"/>
  <c r="T93"/>
  <c r="T99" s="1"/>
  <c r="I144"/>
  <c r="I232"/>
  <c r="I238" s="1"/>
  <c r="N219"/>
  <c r="N225" s="1"/>
  <c r="O156"/>
  <c r="P257"/>
  <c r="P263" s="1"/>
  <c r="S156"/>
  <c r="S162" s="1"/>
  <c r="T232"/>
  <c r="K4" i="14"/>
  <c r="E194" i="15"/>
  <c r="T7"/>
  <c r="P219"/>
  <c r="P225" s="1"/>
  <c r="N105"/>
  <c r="N111" s="1"/>
  <c r="E169"/>
  <c r="N7"/>
  <c r="N13" s="1"/>
  <c r="I56"/>
  <c r="I62" s="1"/>
  <c r="I131"/>
  <c r="S131"/>
  <c r="I181"/>
  <c r="N206"/>
  <c r="I219"/>
  <c r="I225" s="1"/>
  <c r="I283"/>
  <c r="I289" s="1"/>
  <c r="S295"/>
  <c r="S301" s="1"/>
  <c r="E68"/>
  <c r="I19"/>
  <c r="I25" s="1"/>
  <c r="S68"/>
  <c r="S74" s="1"/>
  <c r="I93"/>
  <c r="I99" s="1"/>
  <c r="S105"/>
  <c r="S111" s="1"/>
  <c r="N144"/>
  <c r="N194"/>
  <c r="N200" s="1"/>
  <c r="S257"/>
  <c r="S263" s="1"/>
  <c r="S270"/>
  <c r="S276" s="1"/>
  <c r="I295"/>
  <c r="I301" s="1"/>
  <c r="S7"/>
  <c r="S13" s="1"/>
  <c r="N156"/>
  <c r="N162" s="1"/>
  <c r="I257"/>
  <c r="I263" s="1"/>
  <c r="I270"/>
  <c r="N56"/>
  <c r="N62" s="1"/>
  <c r="S169"/>
  <c r="S175" s="1"/>
  <c r="N244"/>
  <c r="N250" s="1"/>
  <c r="S283"/>
  <c r="S289" s="1"/>
  <c r="E283"/>
  <c r="I7"/>
  <c r="I13" s="1"/>
  <c r="N68"/>
  <c r="N74" s="1"/>
  <c r="N44"/>
  <c r="N50" s="1"/>
  <c r="N131"/>
  <c r="I156"/>
  <c r="I162" s="1"/>
  <c r="S194"/>
  <c r="S200" s="1"/>
  <c r="S206"/>
  <c r="S219"/>
  <c r="S225" s="1"/>
  <c r="N270"/>
  <c r="S56"/>
  <c r="S62" s="1"/>
  <c r="I169"/>
  <c r="N283"/>
  <c r="N289" s="1"/>
  <c r="E308"/>
  <c r="S19"/>
  <c r="S25" s="1"/>
  <c r="I105"/>
  <c r="I111" s="1"/>
  <c r="N181"/>
  <c r="S232"/>
  <c r="S238" s="1"/>
  <c r="E270"/>
  <c r="N19"/>
  <c r="N31"/>
  <c r="I68"/>
  <c r="I74" s="1"/>
  <c r="N118"/>
  <c r="N124" s="1"/>
  <c r="S118"/>
  <c r="S124" s="1"/>
  <c r="I194"/>
  <c r="I200" s="1"/>
  <c r="I206"/>
  <c r="S244"/>
  <c r="S250" s="1"/>
  <c r="N295"/>
  <c r="N301" s="1"/>
  <c r="N93"/>
  <c r="N99" s="1"/>
  <c r="S181"/>
  <c r="E44"/>
  <c r="S144"/>
  <c r="E181"/>
  <c r="I31"/>
  <c r="S44"/>
  <c r="S50" s="1"/>
  <c r="I118"/>
  <c r="I124" s="1"/>
  <c r="S93"/>
  <c r="S99" s="1"/>
  <c r="N169"/>
  <c r="N175" s="1"/>
  <c r="N232"/>
  <c r="N238" s="1"/>
  <c r="I244"/>
  <c r="I250" s="1"/>
  <c r="T244"/>
  <c r="T250" s="1"/>
  <c r="K206"/>
  <c r="K212" s="1"/>
  <c r="E31"/>
  <c r="E295"/>
  <c r="T105"/>
  <c r="P68"/>
  <c r="P74" s="1"/>
  <c r="U181"/>
  <c r="U187" s="1"/>
  <c r="E19"/>
  <c r="E232"/>
  <c r="T44"/>
  <c r="T50" s="1"/>
  <c r="K31"/>
  <c r="K37" s="1"/>
  <c r="AE8" s="1"/>
  <c r="E219"/>
  <c r="T181"/>
  <c r="T187" s="1"/>
  <c r="U144"/>
  <c r="U150" s="1"/>
  <c r="AO17" s="1"/>
  <c r="E105"/>
  <c r="E257"/>
  <c r="J31"/>
  <c r="J37" s="1"/>
  <c r="J194"/>
  <c r="U93"/>
  <c r="U99" s="1"/>
  <c r="U283"/>
  <c r="U289" s="1"/>
  <c r="K20"/>
  <c r="P195"/>
  <c r="T169"/>
  <c r="K56"/>
  <c r="K62" s="1"/>
  <c r="E156"/>
  <c r="T257"/>
  <c r="E144"/>
  <c r="T219"/>
  <c r="T225" s="1"/>
  <c r="K194"/>
  <c r="E118"/>
  <c r="O56"/>
  <c r="O62" s="1"/>
  <c r="P19"/>
  <c r="K308"/>
  <c r="K314" s="1"/>
  <c r="E131"/>
  <c r="J7"/>
  <c r="J13" s="1"/>
  <c r="O169"/>
  <c r="T295"/>
  <c r="T301" s="1"/>
  <c r="K93"/>
  <c r="K99" s="1"/>
  <c r="U232"/>
  <c r="U238" s="1"/>
  <c r="K182"/>
  <c r="T31"/>
  <c r="T37" s="1"/>
  <c r="J105"/>
  <c r="J111" s="1"/>
  <c r="AD14" s="1"/>
  <c r="J156"/>
  <c r="J162" s="1"/>
  <c r="J232"/>
  <c r="T270"/>
  <c r="K68"/>
  <c r="K74" s="1"/>
  <c r="P105"/>
  <c r="P111" s="1"/>
  <c r="P181"/>
  <c r="P187" s="1"/>
  <c r="U270"/>
  <c r="U276" s="1"/>
  <c r="H111"/>
  <c r="M250"/>
  <c r="O19"/>
  <c r="O25" s="1"/>
  <c r="O44"/>
  <c r="O50" s="1"/>
  <c r="O131"/>
  <c r="O219"/>
  <c r="O225" s="1"/>
  <c r="T308"/>
  <c r="U31"/>
  <c r="U37" s="1"/>
  <c r="K105"/>
  <c r="K111" s="1"/>
  <c r="K156"/>
  <c r="K162" s="1"/>
  <c r="K232"/>
  <c r="K238" s="1"/>
  <c r="U295"/>
  <c r="U301" s="1"/>
  <c r="R250"/>
  <c r="J44"/>
  <c r="J50" s="1"/>
  <c r="T156"/>
  <c r="T162" s="1"/>
  <c r="J206"/>
  <c r="O295"/>
  <c r="O301" s="1"/>
  <c r="K7"/>
  <c r="K13" s="1"/>
  <c r="K131"/>
  <c r="P169"/>
  <c r="K219"/>
  <c r="K225" s="1"/>
  <c r="P283"/>
  <c r="P289" s="1"/>
  <c r="J56"/>
  <c r="J62" s="1"/>
  <c r="AD10" s="1"/>
  <c r="O105"/>
  <c r="O111" s="1"/>
  <c r="O232"/>
  <c r="J283"/>
  <c r="K19"/>
  <c r="U68"/>
  <c r="U74" s="1"/>
  <c r="AO11" s="1"/>
  <c r="P156"/>
  <c r="P162" s="1"/>
  <c r="P232"/>
  <c r="P238" s="1"/>
  <c r="U308"/>
  <c r="U314" s="1"/>
  <c r="O31"/>
  <c r="O37" s="1"/>
  <c r="T68"/>
  <c r="J118"/>
  <c r="T131"/>
  <c r="O181"/>
  <c r="O187" s="1"/>
  <c r="T206"/>
  <c r="T212" s="1"/>
  <c r="J244"/>
  <c r="J250" s="1"/>
  <c r="J308"/>
  <c r="P31"/>
  <c r="P44"/>
  <c r="P50" s="1"/>
  <c r="K118"/>
  <c r="K124" s="1"/>
  <c r="U169"/>
  <c r="K169"/>
  <c r="K175" s="1"/>
  <c r="U206"/>
  <c r="U212" s="1"/>
  <c r="U244"/>
  <c r="U250" s="1"/>
  <c r="AO25" s="1"/>
  <c r="P295"/>
  <c r="P301" s="1"/>
  <c r="P308"/>
  <c r="P314" s="1"/>
  <c r="U82"/>
  <c r="K195"/>
  <c r="R62"/>
  <c r="M99"/>
  <c r="I175"/>
  <c r="M4" i="14"/>
  <c r="K5"/>
  <c r="J5" s="1"/>
  <c r="M5"/>
  <c r="G5"/>
  <c r="O7" i="15"/>
  <c r="O13" s="1"/>
  <c r="J68"/>
  <c r="T118"/>
  <c r="J93"/>
  <c r="J99" s="1"/>
  <c r="O144"/>
  <c r="O206"/>
  <c r="J219"/>
  <c r="T283"/>
  <c r="T289" s="1"/>
  <c r="O308"/>
  <c r="U7"/>
  <c r="U13" s="1"/>
  <c r="K44"/>
  <c r="K50" s="1"/>
  <c r="U118"/>
  <c r="U124" s="1"/>
  <c r="P118"/>
  <c r="P124" s="1"/>
  <c r="P144"/>
  <c r="P206"/>
  <c r="P212" s="1"/>
  <c r="U257"/>
  <c r="U263" s="1"/>
  <c r="K283"/>
  <c r="K289" s="1"/>
  <c r="K295"/>
  <c r="K301" s="1"/>
  <c r="K82"/>
  <c r="U170"/>
  <c r="J19"/>
  <c r="T56"/>
  <c r="T62" s="1"/>
  <c r="T63" s="1"/>
  <c r="J131"/>
  <c r="O93"/>
  <c r="O99" s="1"/>
  <c r="J181"/>
  <c r="J187" s="1"/>
  <c r="T194"/>
  <c r="J257"/>
  <c r="J270"/>
  <c r="J295"/>
  <c r="U19"/>
  <c r="U25" s="1"/>
  <c r="U44"/>
  <c r="U50" s="1"/>
  <c r="U105"/>
  <c r="U111" s="1"/>
  <c r="P93"/>
  <c r="P99" s="1"/>
  <c r="K144"/>
  <c r="K150" s="1"/>
  <c r="P194"/>
  <c r="P244"/>
  <c r="P250" s="1"/>
  <c r="K257"/>
  <c r="K263" s="1"/>
  <c r="P270"/>
  <c r="P32"/>
  <c r="P145"/>
  <c r="U195"/>
  <c r="T19"/>
  <c r="T25" s="1"/>
  <c r="O68"/>
  <c r="O118"/>
  <c r="J144"/>
  <c r="T144"/>
  <c r="T150" s="1"/>
  <c r="O194"/>
  <c r="O244"/>
  <c r="O250" s="1"/>
  <c r="O257"/>
  <c r="N257" s="1"/>
  <c r="N263" s="1"/>
  <c r="P7"/>
  <c r="P13" s="1"/>
  <c r="P56"/>
  <c r="P62" s="1"/>
  <c r="P131"/>
  <c r="U156"/>
  <c r="U162" s="1"/>
  <c r="K181"/>
  <c r="U194"/>
  <c r="U219"/>
  <c r="U225" s="1"/>
  <c r="AO23" s="1"/>
  <c r="K244"/>
  <c r="K250" s="1"/>
  <c r="I5" i="14"/>
  <c r="P20" i="15"/>
  <c r="P170"/>
  <c r="I11" i="14"/>
  <c r="M11"/>
  <c r="K11"/>
  <c r="G11"/>
  <c r="D308" i="15"/>
  <c r="D314" s="1"/>
  <c r="D283"/>
  <c r="D270"/>
  <c r="D276" s="1"/>
  <c r="C276" s="1"/>
  <c r="D295"/>
  <c r="D301" s="1"/>
  <c r="C301" s="1"/>
  <c r="D219"/>
  <c r="D225" s="1"/>
  <c r="C225" s="1"/>
  <c r="D257"/>
  <c r="D263" s="1"/>
  <c r="D244"/>
  <c r="D250" s="1"/>
  <c r="C250" s="1"/>
  <c r="D232"/>
  <c r="D238" s="1"/>
  <c r="D194"/>
  <c r="D200" s="1"/>
  <c r="D181"/>
  <c r="D187" s="1"/>
  <c r="C187" s="1"/>
  <c r="D156"/>
  <c r="D162" s="1"/>
  <c r="C162" s="1"/>
  <c r="D169"/>
  <c r="D175" s="1"/>
  <c r="D144"/>
  <c r="D150" s="1"/>
  <c r="C150" s="1"/>
  <c r="D118"/>
  <c r="D124" s="1"/>
  <c r="D105"/>
  <c r="D111" s="1"/>
  <c r="C111" s="1"/>
  <c r="D93"/>
  <c r="D99" s="1"/>
  <c r="C99" s="1"/>
  <c r="D131"/>
  <c r="D44"/>
  <c r="D50" s="1"/>
  <c r="C50" s="1"/>
  <c r="D68"/>
  <c r="D74" s="1"/>
  <c r="D56"/>
  <c r="D62" s="1"/>
  <c r="C62" s="1"/>
  <c r="D31"/>
  <c r="D19"/>
  <c r="D25" s="1"/>
  <c r="C25" s="1"/>
  <c r="E8"/>
  <c r="F13"/>
  <c r="U133"/>
  <c r="F133"/>
  <c r="K133"/>
  <c r="K137" s="1"/>
  <c r="F83"/>
  <c r="F87" s="1"/>
  <c r="U83"/>
  <c r="P133"/>
  <c r="K83"/>
  <c r="P83"/>
  <c r="P87" s="1"/>
  <c r="J169"/>
  <c r="C8"/>
  <c r="D13"/>
  <c r="C13" s="1"/>
  <c r="C212"/>
  <c r="R25"/>
  <c r="M62"/>
  <c r="R289"/>
  <c r="E212"/>
  <c r="H13"/>
  <c r="M50"/>
  <c r="H162"/>
  <c r="R225"/>
  <c r="M162"/>
  <c r="T13"/>
  <c r="O212"/>
  <c r="J289"/>
  <c r="J301"/>
  <c r="I37"/>
  <c r="R50"/>
  <c r="R99"/>
  <c r="H250"/>
  <c r="H23" i="16"/>
  <c r="Q5"/>
  <c r="D133" i="15"/>
  <c r="N133"/>
  <c r="I83"/>
  <c r="I87" s="1"/>
  <c r="I133"/>
  <c r="S133"/>
  <c r="D83"/>
  <c r="D87" s="1"/>
  <c r="S83"/>
  <c r="S87" s="1"/>
  <c r="N83"/>
  <c r="N87" s="1"/>
  <c r="R156"/>
  <c r="J212"/>
  <c r="M301"/>
  <c r="J225"/>
  <c r="T276"/>
  <c r="O289"/>
  <c r="R37"/>
  <c r="H50"/>
  <c r="M111"/>
  <c r="M225"/>
  <c r="F308"/>
  <c r="F314" s="1"/>
  <c r="F283"/>
  <c r="F289" s="1"/>
  <c r="E289" s="1"/>
  <c r="F270"/>
  <c r="F276" s="1"/>
  <c r="F295"/>
  <c r="F301" s="1"/>
  <c r="F232"/>
  <c r="F238" s="1"/>
  <c r="F219"/>
  <c r="F225" s="1"/>
  <c r="E225" s="1"/>
  <c r="F244"/>
  <c r="F250" s="1"/>
  <c r="E250" s="1"/>
  <c r="F257"/>
  <c r="F263" s="1"/>
  <c r="F194"/>
  <c r="F200" s="1"/>
  <c r="F181"/>
  <c r="F187" s="1"/>
  <c r="E187" s="1"/>
  <c r="F144"/>
  <c r="F150" s="1"/>
  <c r="F169"/>
  <c r="F175" s="1"/>
  <c r="F156"/>
  <c r="F162" s="1"/>
  <c r="E162" s="1"/>
  <c r="F118"/>
  <c r="F124" s="1"/>
  <c r="F105"/>
  <c r="F111" s="1"/>
  <c r="F93"/>
  <c r="F131"/>
  <c r="F68"/>
  <c r="F74" s="1"/>
  <c r="F56"/>
  <c r="F62" s="1"/>
  <c r="F44"/>
  <c r="F50" s="1"/>
  <c r="F31"/>
  <c r="F19"/>
  <c r="F25" s="1"/>
  <c r="O162"/>
  <c r="R13"/>
  <c r="M289"/>
  <c r="T111"/>
  <c r="J150"/>
  <c r="M13"/>
  <c r="H62"/>
  <c r="H225"/>
  <c r="H289"/>
  <c r="R301"/>
  <c r="M195"/>
  <c r="H182"/>
  <c r="R182"/>
  <c r="R195"/>
  <c r="H195"/>
  <c r="M182"/>
  <c r="M170"/>
  <c r="R145"/>
  <c r="H145"/>
  <c r="H170"/>
  <c r="M145"/>
  <c r="R170"/>
  <c r="R82"/>
  <c r="H82"/>
  <c r="M82"/>
  <c r="M32"/>
  <c r="H32"/>
  <c r="M20"/>
  <c r="H20"/>
  <c r="H22" i="16"/>
  <c r="H99" i="15"/>
  <c r="R111"/>
  <c r="N150"/>
  <c r="R276"/>
  <c r="P276" s="1"/>
  <c r="H301"/>
  <c r="E62" l="1"/>
  <c r="U137"/>
  <c r="N137"/>
  <c r="E50"/>
  <c r="Y9" s="1"/>
  <c r="P25"/>
  <c r="O26" s="1"/>
  <c r="E25"/>
  <c r="E26" s="1"/>
  <c r="C26" s="1"/>
  <c r="P175"/>
  <c r="AJ19" s="1"/>
  <c r="P137"/>
  <c r="E111"/>
  <c r="I137"/>
  <c r="S137"/>
  <c r="K187"/>
  <c r="AE20" s="1"/>
  <c r="E301"/>
  <c r="Y29" s="1"/>
  <c r="E150"/>
  <c r="Y17" s="1"/>
  <c r="U200"/>
  <c r="J112"/>
  <c r="H112" s="1"/>
  <c r="J63"/>
  <c r="P37"/>
  <c r="T290"/>
  <c r="AN28"/>
  <c r="J100"/>
  <c r="AD13"/>
  <c r="M150"/>
  <c r="R162"/>
  <c r="AN10"/>
  <c r="K87"/>
  <c r="U175"/>
  <c r="Q4" i="16"/>
  <c r="H4" s="1"/>
  <c r="Q22"/>
  <c r="H63" i="15"/>
  <c r="Z11"/>
  <c r="N212"/>
  <c r="M212" s="1"/>
  <c r="O213"/>
  <c r="AI22"/>
  <c r="Q25" i="16"/>
  <c r="Q7"/>
  <c r="H25"/>
  <c r="T26" i="15"/>
  <c r="R26" s="1"/>
  <c r="AN7"/>
  <c r="O112"/>
  <c r="M112" s="1"/>
  <c r="AI14"/>
  <c r="J290"/>
  <c r="H290" s="1"/>
  <c r="AD28"/>
  <c r="S212"/>
  <c r="R212" s="1"/>
  <c r="T213"/>
  <c r="AN22"/>
  <c r="N25"/>
  <c r="M25" s="1"/>
  <c r="K25" s="1"/>
  <c r="AI7"/>
  <c r="J38"/>
  <c r="AD8"/>
  <c r="E13"/>
  <c r="R290"/>
  <c r="E290"/>
  <c r="Y28"/>
  <c r="T38"/>
  <c r="AN8"/>
  <c r="E133"/>
  <c r="T133"/>
  <c r="T137" s="1"/>
  <c r="O133"/>
  <c r="O137" s="1"/>
  <c r="T83"/>
  <c r="E83"/>
  <c r="O83"/>
  <c r="J83"/>
  <c r="E63"/>
  <c r="C63" s="1"/>
  <c r="Y10"/>
  <c r="E163"/>
  <c r="C163" s="1"/>
  <c r="Y18"/>
  <c r="O276"/>
  <c r="AJ27"/>
  <c r="T112"/>
  <c r="AN14"/>
  <c r="E226"/>
  <c r="C226" s="1"/>
  <c r="Y23"/>
  <c r="J226"/>
  <c r="H226" s="1"/>
  <c r="AD23"/>
  <c r="E213"/>
  <c r="C213" s="1"/>
  <c r="Y22"/>
  <c r="O226"/>
  <c r="M226" s="1"/>
  <c r="AI23"/>
  <c r="T251"/>
  <c r="R251" s="1"/>
  <c r="AN25"/>
  <c r="R63"/>
  <c r="AQ10"/>
  <c r="R133"/>
  <c r="R137" s="1"/>
  <c r="H37"/>
  <c r="F37" s="1"/>
  <c r="J133"/>
  <c r="J137" s="1"/>
  <c r="D137"/>
  <c r="E188"/>
  <c r="C188" s="1"/>
  <c r="Y20"/>
  <c r="O51"/>
  <c r="M51" s="1"/>
  <c r="AI9"/>
  <c r="T163"/>
  <c r="AN18"/>
  <c r="J163"/>
  <c r="H163" s="1"/>
  <c r="AD18"/>
  <c r="I212"/>
  <c r="H212" s="1"/>
  <c r="J213"/>
  <c r="AD22"/>
  <c r="H133"/>
  <c r="H137" s="1"/>
  <c r="C133"/>
  <c r="M83"/>
  <c r="M133"/>
  <c r="M137" s="1"/>
  <c r="H83"/>
  <c r="C83"/>
  <c r="R83"/>
  <c r="T226"/>
  <c r="AN23"/>
  <c r="O100"/>
  <c r="M100" s="1"/>
  <c r="AI13"/>
  <c r="O163"/>
  <c r="M163" s="1"/>
  <c r="AI18"/>
  <c r="E112"/>
  <c r="C112" s="1"/>
  <c r="Y14"/>
  <c r="E251"/>
  <c r="C251" s="1"/>
  <c r="Y25"/>
  <c r="T277"/>
  <c r="R277" s="1"/>
  <c r="AN27"/>
  <c r="S187"/>
  <c r="R187" s="1"/>
  <c r="T188"/>
  <c r="AN20"/>
  <c r="C283"/>
  <c r="D289"/>
  <c r="H25"/>
  <c r="T100"/>
  <c r="R100" s="1"/>
  <c r="AN13"/>
  <c r="I187"/>
  <c r="H187" s="1"/>
  <c r="AD20"/>
  <c r="T302"/>
  <c r="AN29"/>
  <c r="AI6"/>
  <c r="O14"/>
  <c r="M14" s="1"/>
  <c r="I150"/>
  <c r="H150" s="1"/>
  <c r="J151"/>
  <c r="AD17"/>
  <c r="E93"/>
  <c r="F99"/>
  <c r="O290"/>
  <c r="M290" s="1"/>
  <c r="AI28"/>
  <c r="AN6"/>
  <c r="AL6" s="1"/>
  <c r="AK6" s="1"/>
  <c r="AJ6" s="1"/>
  <c r="T14"/>
  <c r="S150"/>
  <c r="R150" s="1"/>
  <c r="P150" s="1"/>
  <c r="T151"/>
  <c r="AN17"/>
  <c r="AL28"/>
  <c r="AK28" s="1"/>
  <c r="AJ28" s="1"/>
  <c r="H100"/>
  <c r="E276"/>
  <c r="Z27"/>
  <c r="J251"/>
  <c r="H251" s="1"/>
  <c r="AD25"/>
  <c r="T51"/>
  <c r="AN9"/>
  <c r="N187"/>
  <c r="M187" s="1"/>
  <c r="O188"/>
  <c r="AI20"/>
  <c r="J302"/>
  <c r="H302" s="1"/>
  <c r="AD29"/>
  <c r="O302"/>
  <c r="M302" s="1"/>
  <c r="AI29"/>
  <c r="O63"/>
  <c r="M63" s="1"/>
  <c r="AI10"/>
  <c r="O251"/>
  <c r="M251" s="1"/>
  <c r="AI25"/>
  <c r="Z21"/>
  <c r="AD6"/>
  <c r="J14"/>
  <c r="H14" s="1"/>
  <c r="J51"/>
  <c r="H51" s="1"/>
  <c r="AD9"/>
  <c r="N37"/>
  <c r="M37" s="1"/>
  <c r="O38"/>
  <c r="AI8"/>
  <c r="F137"/>
  <c r="J188" l="1"/>
  <c r="Y7"/>
  <c r="E151"/>
  <c r="C151" s="1"/>
  <c r="E51"/>
  <c r="C51" s="1"/>
  <c r="AG13"/>
  <c r="E302"/>
  <c r="C302" s="1"/>
  <c r="AB22"/>
  <c r="AA22" s="1"/>
  <c r="Z22" s="1"/>
  <c r="AL18"/>
  <c r="AK18" s="1"/>
  <c r="AJ18" s="1"/>
  <c r="AG10"/>
  <c r="AG14"/>
  <c r="AF14" s="1"/>
  <c r="AE14" s="1"/>
  <c r="C289"/>
  <c r="C290" s="1"/>
  <c r="AQ28"/>
  <c r="AB20"/>
  <c r="AA20" s="1"/>
  <c r="Z20" s="1"/>
  <c r="AG29"/>
  <c r="AF29" s="1"/>
  <c r="AE29" s="1"/>
  <c r="AF10"/>
  <c r="AE10" s="1"/>
  <c r="M38"/>
  <c r="AQ7"/>
  <c r="AP7" s="1"/>
  <c r="AO7" s="1"/>
  <c r="AG22"/>
  <c r="AL25"/>
  <c r="AK25" s="1"/>
  <c r="AJ25" s="1"/>
  <c r="AG8"/>
  <c r="M213"/>
  <c r="AP28"/>
  <c r="AO28" s="1"/>
  <c r="H151"/>
  <c r="AL23"/>
  <c r="AK23" s="1"/>
  <c r="AJ23" s="1"/>
  <c r="AF13"/>
  <c r="AE13" s="1"/>
  <c r="AB18"/>
  <c r="AA18" s="1"/>
  <c r="Z18" s="1"/>
  <c r="AP10"/>
  <c r="AO10" s="1"/>
  <c r="AG28"/>
  <c r="AF28" s="1"/>
  <c r="AE28" s="1"/>
  <c r="AG6"/>
  <c r="AF6" s="1"/>
  <c r="AE6" s="1"/>
  <c r="AL13"/>
  <c r="AK13" s="1"/>
  <c r="AJ13" s="1"/>
  <c r="AB10"/>
  <c r="AA10" s="1"/>
  <c r="Z10" s="1"/>
  <c r="J138"/>
  <c r="H138" s="1"/>
  <c r="AD16"/>
  <c r="R213"/>
  <c r="AQ22"/>
  <c r="R51"/>
  <c r="AQ9"/>
  <c r="R14"/>
  <c r="AQ6"/>
  <c r="R163"/>
  <c r="AQ18"/>
  <c r="E37"/>
  <c r="Z8"/>
  <c r="N276"/>
  <c r="M276" s="1"/>
  <c r="K276" s="1"/>
  <c r="O277"/>
  <c r="AI27"/>
  <c r="E14"/>
  <c r="C14" s="1"/>
  <c r="AQ13" s="1"/>
  <c r="AP13" s="1"/>
  <c r="AO13" s="1"/>
  <c r="Y6"/>
  <c r="AG9"/>
  <c r="AF9" s="1"/>
  <c r="AE9" s="1"/>
  <c r="AQ27"/>
  <c r="AP27" s="1"/>
  <c r="AO27" s="1"/>
  <c r="AL22"/>
  <c r="R38"/>
  <c r="AQ8"/>
  <c r="R112"/>
  <c r="AQ14"/>
  <c r="R151"/>
  <c r="H188"/>
  <c r="AL8"/>
  <c r="AB14"/>
  <c r="AA14" s="1"/>
  <c r="Z14" s="1"/>
  <c r="M26"/>
  <c r="O150"/>
  <c r="AJ17"/>
  <c r="J25"/>
  <c r="AE7"/>
  <c r="R188"/>
  <c r="AQ20"/>
  <c r="AB25"/>
  <c r="AA25" s="1"/>
  <c r="Z25" s="1"/>
  <c r="AB23"/>
  <c r="AA23" s="1"/>
  <c r="Z23" s="1"/>
  <c r="M188"/>
  <c r="AG18"/>
  <c r="AF18" s="1"/>
  <c r="AE18" s="1"/>
  <c r="AL14"/>
  <c r="AK14" s="1"/>
  <c r="AJ14" s="1"/>
  <c r="R226"/>
  <c r="AQ23"/>
  <c r="T138"/>
  <c r="R138" s="1"/>
  <c r="AN16"/>
  <c r="E277"/>
  <c r="C277" s="1"/>
  <c r="Y27"/>
  <c r="O138"/>
  <c r="M138" s="1"/>
  <c r="AI16"/>
  <c r="R302"/>
  <c r="AQ29"/>
  <c r="AL9"/>
  <c r="AK9" s="1"/>
  <c r="AJ9" s="1"/>
  <c r="AG25"/>
  <c r="AF25" s="1"/>
  <c r="AE25" s="1"/>
  <c r="AG20"/>
  <c r="E99"/>
  <c r="AL10"/>
  <c r="AK10" s="1"/>
  <c r="AJ10" s="1"/>
  <c r="AL20"/>
  <c r="AQ25"/>
  <c r="AP25" s="1"/>
  <c r="H38"/>
  <c r="AF8" s="1"/>
  <c r="AB9"/>
  <c r="AA9" s="1"/>
  <c r="Z9" s="1"/>
  <c r="AL29"/>
  <c r="AK29" s="1"/>
  <c r="AJ29" s="1"/>
  <c r="H213"/>
  <c r="AF22" s="1"/>
  <c r="AE22" s="1"/>
  <c r="AG23"/>
  <c r="AF23" s="1"/>
  <c r="AE23" s="1"/>
  <c r="AQ17"/>
  <c r="AB28"/>
  <c r="AL7"/>
  <c r="AB17" l="1"/>
  <c r="AA17" s="1"/>
  <c r="Z17" s="1"/>
  <c r="AB29"/>
  <c r="AA29" s="1"/>
  <c r="Z29" s="1"/>
  <c r="AQ16"/>
  <c r="AP16" s="1"/>
  <c r="AO16" s="1"/>
  <c r="AK20"/>
  <c r="AJ20" s="1"/>
  <c r="AG16"/>
  <c r="AF16" s="1"/>
  <c r="AE16" s="1"/>
  <c r="AK7"/>
  <c r="AJ7" s="1"/>
  <c r="AB6"/>
  <c r="AA6" s="1"/>
  <c r="Z6" s="1"/>
  <c r="AK8"/>
  <c r="AJ8" s="1"/>
  <c r="AF20"/>
  <c r="AK22"/>
  <c r="AJ22" s="1"/>
  <c r="AP9"/>
  <c r="AO9" s="1"/>
  <c r="AP20"/>
  <c r="AO20" s="1"/>
  <c r="AP14"/>
  <c r="AO14" s="1"/>
  <c r="M277"/>
  <c r="AA28"/>
  <c r="Z28" s="1"/>
  <c r="E100"/>
  <c r="Y13"/>
  <c r="AP6"/>
  <c r="AO6" s="1"/>
  <c r="AL27"/>
  <c r="AP18"/>
  <c r="AO18" s="1"/>
  <c r="J26"/>
  <c r="AD7"/>
  <c r="AB7" s="1"/>
  <c r="AA7" s="1"/>
  <c r="Z7" s="1"/>
  <c r="D37"/>
  <c r="C37" s="1"/>
  <c r="E38"/>
  <c r="Y8"/>
  <c r="AP29"/>
  <c r="AO29" s="1"/>
  <c r="AP23"/>
  <c r="AP8"/>
  <c r="AO8" s="1"/>
  <c r="O151"/>
  <c r="AI17"/>
  <c r="AG17" s="1"/>
  <c r="AF17" s="1"/>
  <c r="AE17" s="1"/>
  <c r="AP17"/>
  <c r="AP22"/>
  <c r="AO22" s="1"/>
  <c r="J276"/>
  <c r="AE27"/>
  <c r="AL16"/>
  <c r="AK16" s="1"/>
  <c r="AJ16" s="1"/>
  <c r="AK27" l="1"/>
  <c r="C100"/>
  <c r="AB13"/>
  <c r="H26"/>
  <c r="AG7"/>
  <c r="M151"/>
  <c r="AL17"/>
  <c r="I276"/>
  <c r="H276" s="1"/>
  <c r="J277"/>
  <c r="AD27"/>
  <c r="AB27" s="1"/>
  <c r="AA27" s="1"/>
  <c r="C38"/>
  <c r="AB8"/>
  <c r="AA8" l="1"/>
  <c r="H277"/>
  <c r="AG27"/>
  <c r="AA13"/>
  <c r="Z13" s="1"/>
  <c r="AF7"/>
  <c r="AK17"/>
  <c r="AF27" l="1"/>
  <c r="D21" i="14"/>
  <c r="G21" s="1"/>
  <c r="D23"/>
  <c r="I23" s="1"/>
  <c r="D22"/>
  <c r="K22" s="1"/>
  <c r="H14" i="3"/>
  <c r="H15" s="1"/>
  <c r="H16" s="1"/>
  <c r="H17" s="1"/>
  <c r="H18" s="1"/>
  <c r="D7" i="5"/>
  <c r="D32"/>
  <c r="Z5" i="10"/>
  <c r="X43"/>
  <c r="U185"/>
  <c r="X183" s="1"/>
  <c r="Y186" s="1"/>
  <c r="AA145" s="1"/>
  <c r="J3" i="12" s="1"/>
  <c r="U183" i="10"/>
  <c r="W183" s="1"/>
  <c r="K10" i="9"/>
  <c r="S60" i="10"/>
  <c r="D60" s="1"/>
  <c r="Q60"/>
  <c r="F60" s="1"/>
  <c r="O60"/>
  <c r="H60" s="1"/>
  <c r="U64"/>
  <c r="W64" s="1"/>
  <c r="S106"/>
  <c r="D106" s="1"/>
  <c r="U110"/>
  <c r="V110" s="1"/>
  <c r="S92"/>
  <c r="U92" s="1"/>
  <c r="U90"/>
  <c r="W90" s="1"/>
  <c r="U136"/>
  <c r="W136" s="1"/>
  <c r="X136" s="1"/>
  <c r="I5" i="12"/>
  <c r="I6" s="1"/>
  <c r="I7" s="1"/>
  <c r="E3" l="1"/>
  <c r="E4"/>
  <c r="Y46" i="10"/>
  <c r="Y43" s="1"/>
  <c r="K5" i="12" s="1"/>
  <c r="G23" i="14"/>
  <c r="M22"/>
  <c r="H34" i="16" s="1"/>
  <c r="M21" i="14"/>
  <c r="Q34" i="16" s="1"/>
  <c r="K21" i="14"/>
  <c r="I21"/>
  <c r="M23"/>
  <c r="I22"/>
  <c r="G22"/>
  <c r="K23"/>
  <c r="V64" i="10"/>
  <c r="E8" i="12"/>
  <c r="X90" i="10"/>
  <c r="C23" i="12"/>
  <c r="K13" s="1"/>
  <c r="U106" i="10"/>
  <c r="AA5"/>
  <c r="J5" i="12" s="1"/>
  <c r="C27"/>
  <c r="K17" s="1"/>
  <c r="U60" i="10"/>
  <c r="W110"/>
  <c r="Y183"/>
  <c r="K3" i="12" s="1"/>
  <c r="D14" i="14"/>
  <c r="M14" s="1"/>
  <c r="E16" i="5"/>
  <c r="E20" s="1"/>
  <c r="D16"/>
  <c r="D20" s="1"/>
  <c r="D44"/>
  <c r="D48" s="1"/>
  <c r="E44"/>
  <c r="E46" s="1"/>
  <c r="AA8" i="16"/>
  <c r="AA9" s="1"/>
  <c r="AJ12" i="15"/>
  <c r="AO26"/>
  <c r="AJ26"/>
  <c r="AE26"/>
  <c r="Z16"/>
  <c r="AO15"/>
  <c r="AE12"/>
  <c r="Z12"/>
  <c r="AO24"/>
  <c r="Z24"/>
  <c r="U87"/>
  <c r="AO12" s="1"/>
  <c r="AE15"/>
  <c r="AO19"/>
  <c r="AE19"/>
  <c r="P200"/>
  <c r="AJ21" s="1"/>
  <c r="AO21"/>
  <c r="Z19"/>
  <c r="Z15"/>
  <c r="AJ15"/>
  <c r="AJ11"/>
  <c r="AE11"/>
  <c r="Z26"/>
  <c r="AJ24"/>
  <c r="AE24"/>
  <c r="K200"/>
  <c r="AE21" s="1"/>
  <c r="E19" i="5" l="1"/>
  <c r="D18"/>
  <c r="D17"/>
  <c r="E45"/>
  <c r="D49"/>
  <c r="G14" i="14"/>
  <c r="H173" i="15" s="1"/>
  <c r="H175" s="1"/>
  <c r="H176" s="1"/>
  <c r="AF19" s="1"/>
  <c r="D47" i="5"/>
  <c r="D45"/>
  <c r="I14" i="14"/>
  <c r="E18" i="5"/>
  <c r="E47"/>
  <c r="D21"/>
  <c r="Q9" i="16"/>
  <c r="Q27"/>
  <c r="Q35" s="1"/>
  <c r="H9" i="2" s="1"/>
  <c r="H9" i="16"/>
  <c r="H27"/>
  <c r="H35" s="1"/>
  <c r="H6" i="2" s="1"/>
  <c r="E72" i="15"/>
  <c r="E74" s="1"/>
  <c r="H15" i="16"/>
  <c r="Q16"/>
  <c r="E21" i="5"/>
  <c r="M72" i="15"/>
  <c r="M74" s="1"/>
  <c r="M75" s="1"/>
  <c r="AK11" s="1"/>
  <c r="T198"/>
  <c r="T200" s="1"/>
  <c r="O312"/>
  <c r="O314" s="1"/>
  <c r="O315" s="1"/>
  <c r="E135"/>
  <c r="E137" s="1"/>
  <c r="O261"/>
  <c r="O263" s="1"/>
  <c r="T85"/>
  <c r="T87" s="1"/>
  <c r="E17" i="5"/>
  <c r="E49"/>
  <c r="T173" i="15"/>
  <c r="T175" s="1"/>
  <c r="E261"/>
  <c r="E263" s="1"/>
  <c r="D46" i="5"/>
  <c r="E48"/>
  <c r="D19"/>
  <c r="V106" i="10"/>
  <c r="V112" s="1"/>
  <c r="W106"/>
  <c r="W112" s="1"/>
  <c r="U112"/>
  <c r="K7" i="12"/>
  <c r="K6"/>
  <c r="J6"/>
  <c r="J7"/>
  <c r="W60" i="10"/>
  <c r="W66" s="1"/>
  <c r="U66"/>
  <c r="V60"/>
  <c r="V66" s="1"/>
  <c r="I9" i="2" l="1"/>
  <c r="J25" i="9" s="1"/>
  <c r="O10" i="2"/>
  <c r="I6"/>
  <c r="O7"/>
  <c r="M198" i="15"/>
  <c r="M200" s="1"/>
  <c r="M201" s="1"/>
  <c r="AK21" s="1"/>
  <c r="Q17" i="16"/>
  <c r="C173" i="15"/>
  <c r="C175" s="1"/>
  <c r="C176" s="1"/>
  <c r="AA19" s="1"/>
  <c r="C20" i="2"/>
  <c r="E20" s="1"/>
  <c r="C72" i="15"/>
  <c r="C74" s="1"/>
  <c r="C75" s="1"/>
  <c r="AA11" s="1"/>
  <c r="R236"/>
  <c r="R238" s="1"/>
  <c r="R239" s="1"/>
  <c r="AP24" s="1"/>
  <c r="R261"/>
  <c r="R263" s="1"/>
  <c r="R264" s="1"/>
  <c r="AP26" s="1"/>
  <c r="O85"/>
  <c r="O87" s="1"/>
  <c r="T261"/>
  <c r="T263" s="1"/>
  <c r="O198"/>
  <c r="O200" s="1"/>
  <c r="T312"/>
  <c r="T314" s="1"/>
  <c r="T315" s="1"/>
  <c r="J72"/>
  <c r="J74" s="1"/>
  <c r="J312"/>
  <c r="J314" s="1"/>
  <c r="J315" s="1"/>
  <c r="E173"/>
  <c r="E175" s="1"/>
  <c r="E312"/>
  <c r="E314" s="1"/>
  <c r="E315" s="1"/>
  <c r="O72"/>
  <c r="O74" s="1"/>
  <c r="E85"/>
  <c r="E87" s="1"/>
  <c r="O236"/>
  <c r="O238" s="1"/>
  <c r="O122"/>
  <c r="O124" s="1"/>
  <c r="J85"/>
  <c r="J87" s="1"/>
  <c r="E236"/>
  <c r="E238" s="1"/>
  <c r="E198"/>
  <c r="E200" s="1"/>
  <c r="T72"/>
  <c r="T74" s="1"/>
  <c r="J236"/>
  <c r="J238" s="1"/>
  <c r="R198"/>
  <c r="R200" s="1"/>
  <c r="R201" s="1"/>
  <c r="AP21" s="1"/>
  <c r="M312"/>
  <c r="M314" s="1"/>
  <c r="M315" s="1"/>
  <c r="H85"/>
  <c r="H87" s="1"/>
  <c r="H88" s="1"/>
  <c r="AF12" s="1"/>
  <c r="M261"/>
  <c r="M263" s="1"/>
  <c r="M264" s="1"/>
  <c r="AK26" s="1"/>
  <c r="C122"/>
  <c r="C124" s="1"/>
  <c r="C125" s="1"/>
  <c r="AA15" s="1"/>
  <c r="C198"/>
  <c r="C200" s="1"/>
  <c r="C201" s="1"/>
  <c r="AA21" s="1"/>
  <c r="M173"/>
  <c r="M175" s="1"/>
  <c r="M176" s="1"/>
  <c r="AK19" s="1"/>
  <c r="J173"/>
  <c r="J175" s="1"/>
  <c r="J176" s="1"/>
  <c r="AG19" s="1"/>
  <c r="M85"/>
  <c r="M87" s="1"/>
  <c r="M88" s="1"/>
  <c r="AK12" s="1"/>
  <c r="R85"/>
  <c r="R87" s="1"/>
  <c r="R88" s="1"/>
  <c r="AP12" s="1"/>
  <c r="J122"/>
  <c r="J124" s="1"/>
  <c r="J125" s="1"/>
  <c r="AG15" s="1"/>
  <c r="T122"/>
  <c r="T124" s="1"/>
  <c r="T125" s="1"/>
  <c r="AQ15" s="1"/>
  <c r="O173"/>
  <c r="O175" s="1"/>
  <c r="AI19" s="1"/>
  <c r="R72"/>
  <c r="R74" s="1"/>
  <c r="R75" s="1"/>
  <c r="AP11" s="1"/>
  <c r="H312"/>
  <c r="H314" s="1"/>
  <c r="H315" s="1"/>
  <c r="M122"/>
  <c r="M124" s="1"/>
  <c r="M125" s="1"/>
  <c r="AK15" s="1"/>
  <c r="R312"/>
  <c r="R314" s="1"/>
  <c r="R315" s="1"/>
  <c r="H261"/>
  <c r="H263" s="1"/>
  <c r="H264" s="1"/>
  <c r="AF26" s="1"/>
  <c r="R173"/>
  <c r="R175" s="1"/>
  <c r="R176" s="1"/>
  <c r="AP19" s="1"/>
  <c r="H122"/>
  <c r="H124" s="1"/>
  <c r="H125" s="1"/>
  <c r="AF15" s="1"/>
  <c r="M236"/>
  <c r="M238" s="1"/>
  <c r="M239" s="1"/>
  <c r="AK24" s="1"/>
  <c r="H198"/>
  <c r="H200" s="1"/>
  <c r="H201" s="1"/>
  <c r="AF21" s="1"/>
  <c r="C236"/>
  <c r="C238" s="1"/>
  <c r="C239" s="1"/>
  <c r="AA24" s="1"/>
  <c r="R122"/>
  <c r="R124" s="1"/>
  <c r="R125" s="1"/>
  <c r="AP15" s="1"/>
  <c r="C261"/>
  <c r="C263" s="1"/>
  <c r="C264" s="1"/>
  <c r="AA26" s="1"/>
  <c r="C312"/>
  <c r="C314" s="1"/>
  <c r="C315" s="1"/>
  <c r="C135"/>
  <c r="C137" s="1"/>
  <c r="C138" s="1"/>
  <c r="AA16" s="1"/>
  <c r="C85"/>
  <c r="C87" s="1"/>
  <c r="C88" s="1"/>
  <c r="AA12" s="1"/>
  <c r="H236"/>
  <c r="H238" s="1"/>
  <c r="H239" s="1"/>
  <c r="AF24" s="1"/>
  <c r="J6" i="2"/>
  <c r="P7" s="1"/>
  <c r="J9"/>
  <c r="P10" s="1"/>
  <c r="C31"/>
  <c r="E31" s="1"/>
  <c r="J198" i="15"/>
  <c r="J200" s="1"/>
  <c r="AD21" s="1"/>
  <c r="J261"/>
  <c r="J263" s="1"/>
  <c r="J264" s="1"/>
  <c r="AG26" s="1"/>
  <c r="H72"/>
  <c r="H74" s="1"/>
  <c r="H75" s="1"/>
  <c r="AF11" s="1"/>
  <c r="T236"/>
  <c r="T238" s="1"/>
  <c r="AN24" s="1"/>
  <c r="E122"/>
  <c r="E124" s="1"/>
  <c r="Y15" s="1"/>
  <c r="E138"/>
  <c r="AB16" s="1"/>
  <c r="Y16"/>
  <c r="Y11"/>
  <c r="E75"/>
  <c r="AB11" s="1"/>
  <c r="Y26"/>
  <c r="E264"/>
  <c r="AB26" s="1"/>
  <c r="AI26"/>
  <c r="O264"/>
  <c r="AL26" s="1"/>
  <c r="T201"/>
  <c r="AQ21" s="1"/>
  <c r="AN21"/>
  <c r="C43" i="2"/>
  <c r="E43" s="1"/>
  <c r="H7"/>
  <c r="H16" i="16"/>
  <c r="AN12" i="15"/>
  <c r="T88"/>
  <c r="AQ12" s="1"/>
  <c r="C28" i="2"/>
  <c r="E28" s="1"/>
  <c r="C17"/>
  <c r="E17" s="1"/>
  <c r="AN19" i="15"/>
  <c r="T176"/>
  <c r="AQ19" s="1"/>
  <c r="C40" i="2"/>
  <c r="E40" s="1"/>
  <c r="Y98" i="10"/>
  <c r="Z98" s="1"/>
  <c r="Y139" s="1"/>
  <c r="F4" i="12"/>
  <c r="F8"/>
  <c r="Y52" i="10"/>
  <c r="Z52" s="1"/>
  <c r="Y94" s="1"/>
  <c r="J22" i="9"/>
  <c r="J7"/>
  <c r="H5" i="2" l="1"/>
  <c r="J5" s="1"/>
  <c r="P6" s="1"/>
  <c r="H4"/>
  <c r="C38" s="1"/>
  <c r="E38" s="1"/>
  <c r="J7"/>
  <c r="P8" s="1"/>
  <c r="O8"/>
  <c r="J10" i="9"/>
  <c r="R10" s="1"/>
  <c r="O176" i="15"/>
  <c r="AL19" s="1"/>
  <c r="T239"/>
  <c r="AQ24" s="1"/>
  <c r="AD15"/>
  <c r="J201"/>
  <c r="AG21" s="1"/>
  <c r="E125"/>
  <c r="AB15" s="1"/>
  <c r="AN15"/>
  <c r="I7" i="2"/>
  <c r="J8" i="9" s="1"/>
  <c r="C41" i="2"/>
  <c r="E41" s="1"/>
  <c r="E88" i="15"/>
  <c r="AB12" s="1"/>
  <c r="Y12"/>
  <c r="AN26"/>
  <c r="T264"/>
  <c r="AQ26" s="1"/>
  <c r="O239"/>
  <c r="AL24" s="1"/>
  <c r="AI24"/>
  <c r="O201"/>
  <c r="AL21" s="1"/>
  <c r="AI21"/>
  <c r="AD19"/>
  <c r="AI12"/>
  <c r="O88"/>
  <c r="AL12" s="1"/>
  <c r="J88"/>
  <c r="AG12" s="1"/>
  <c r="AD12"/>
  <c r="Y24"/>
  <c r="E239"/>
  <c r="AB24" s="1"/>
  <c r="O75"/>
  <c r="AL11" s="1"/>
  <c r="AI11"/>
  <c r="Y21"/>
  <c r="E201"/>
  <c r="AB21" s="1"/>
  <c r="Y19"/>
  <c r="E176"/>
  <c r="AB19" s="1"/>
  <c r="AD26"/>
  <c r="AD24"/>
  <c r="J239"/>
  <c r="AG24" s="1"/>
  <c r="O125"/>
  <c r="AL15" s="1"/>
  <c r="AI15"/>
  <c r="J75"/>
  <c r="AG11" s="1"/>
  <c r="AD11"/>
  <c r="T75"/>
  <c r="AQ11" s="1"/>
  <c r="AN11"/>
  <c r="H8" i="2"/>
  <c r="C29"/>
  <c r="E29" s="1"/>
  <c r="C18"/>
  <c r="E18" s="1"/>
  <c r="Y136" i="10"/>
  <c r="K4" i="12" s="1"/>
  <c r="AA98" i="10"/>
  <c r="J4" i="12" s="1"/>
  <c r="Y90" i="10"/>
  <c r="K8" i="12" s="1"/>
  <c r="AA52" i="10"/>
  <c r="J8" i="12" s="1"/>
  <c r="R25" i="9"/>
  <c r="R22"/>
  <c r="R7"/>
  <c r="O5" i="2" l="1"/>
  <c r="I4"/>
  <c r="J5" i="9" s="1"/>
  <c r="R5" s="1"/>
  <c r="C16" i="2"/>
  <c r="E16" s="1"/>
  <c r="C27"/>
  <c r="E27" s="1"/>
  <c r="C15"/>
  <c r="E15" s="1"/>
  <c r="C39"/>
  <c r="E39" s="1"/>
  <c r="C26"/>
  <c r="E26" s="1"/>
  <c r="O6"/>
  <c r="I5"/>
  <c r="J6" i="9" s="1"/>
  <c r="J4" i="2"/>
  <c r="P5" s="1"/>
  <c r="C30"/>
  <c r="E30" s="1"/>
  <c r="O9"/>
  <c r="J23" i="9"/>
  <c r="R23" s="1"/>
  <c r="C42" i="2"/>
  <c r="E42" s="1"/>
  <c r="J8"/>
  <c r="P9" s="1"/>
  <c r="I8"/>
  <c r="J24" i="9" s="1"/>
  <c r="C19" i="2"/>
  <c r="R8" i="9"/>
  <c r="J21" l="1"/>
  <c r="R21" s="1"/>
  <c r="J20"/>
  <c r="R20" s="1"/>
  <c r="C21" i="2"/>
  <c r="K19" s="1"/>
  <c r="E32"/>
  <c r="E19"/>
  <c r="E21" s="1"/>
  <c r="C44"/>
  <c r="K42" s="1"/>
  <c r="C32"/>
  <c r="K30" s="1"/>
  <c r="R6" i="9"/>
  <c r="J9"/>
  <c r="R9" s="1"/>
  <c r="E44" i="2"/>
  <c r="R24" i="9"/>
  <c r="F19" i="2" l="1"/>
  <c r="C11" i="17" s="1"/>
  <c r="E11" s="1"/>
  <c r="F30" i="2"/>
  <c r="D11" i="17" s="1"/>
  <c r="F11" s="1"/>
  <c r="F27" i="2"/>
  <c r="F29"/>
  <c r="D10" i="17" s="1"/>
  <c r="F10" s="1"/>
  <c r="F26" i="2"/>
  <c r="F31"/>
  <c r="F28"/>
  <c r="D9" i="17" s="1"/>
  <c r="F9" s="1"/>
  <c r="F39" i="2"/>
  <c r="F42"/>
  <c r="F43"/>
  <c r="F40"/>
  <c r="F38"/>
  <c r="F41"/>
  <c r="F16"/>
  <c r="F20"/>
  <c r="F17"/>
  <c r="F15"/>
  <c r="F18"/>
  <c r="H25" i="9" l="1"/>
  <c r="S25" s="1"/>
  <c r="H10"/>
  <c r="H21"/>
  <c r="H6"/>
  <c r="H22"/>
  <c r="S22" s="1"/>
  <c r="H7"/>
  <c r="H9"/>
  <c r="S9" s="1"/>
  <c r="H24"/>
  <c r="H8"/>
  <c r="H23"/>
  <c r="S23" s="1"/>
  <c r="G38" i="2"/>
  <c r="H5" i="9"/>
  <c r="H20"/>
  <c r="S20" s="1"/>
  <c r="D12" i="17"/>
  <c r="F12" s="1"/>
  <c r="D8"/>
  <c r="F8" s="1"/>
  <c r="D7"/>
  <c r="F7" s="1"/>
  <c r="G26" i="2"/>
  <c r="N13" i="3" s="1"/>
  <c r="C10" i="17"/>
  <c r="E10" s="1"/>
  <c r="C8"/>
  <c r="E8" s="1"/>
  <c r="C12"/>
  <c r="E12" s="1"/>
  <c r="C9"/>
  <c r="E9" s="1"/>
  <c r="C7"/>
  <c r="E7" s="1"/>
  <c r="G15" i="2"/>
  <c r="G39" l="1"/>
  <c r="I5" i="9"/>
  <c r="L5" s="1"/>
  <c r="I20"/>
  <c r="S21"/>
  <c r="H11"/>
  <c r="S24"/>
  <c r="H26"/>
  <c r="G27" i="2"/>
  <c r="N14" i="3" s="1"/>
  <c r="L20" i="9"/>
  <c r="S10"/>
  <c r="C13" i="3"/>
  <c r="G16" i="2"/>
  <c r="O13" i="3"/>
  <c r="N26"/>
  <c r="N38" s="1"/>
  <c r="S5" i="9"/>
  <c r="S8"/>
  <c r="S7"/>
  <c r="S6"/>
  <c r="G40" i="2" l="1"/>
  <c r="I21" i="9"/>
  <c r="L21" s="1"/>
  <c r="I6"/>
  <c r="L6" s="1"/>
  <c r="G28" i="2"/>
  <c r="N15" i="3" s="1"/>
  <c r="G17" i="2"/>
  <c r="C14" i="3"/>
  <c r="C18" i="13"/>
  <c r="Q13" i="3"/>
  <c r="O26"/>
  <c r="P26" s="1"/>
  <c r="O38" s="1"/>
  <c r="O14"/>
  <c r="N27"/>
  <c r="N39" s="1"/>
  <c r="D13"/>
  <c r="C26"/>
  <c r="C38" s="1"/>
  <c r="G41" i="2" l="1"/>
  <c r="I22" i="9"/>
  <c r="L22" s="1"/>
  <c r="I7"/>
  <c r="G29" i="2"/>
  <c r="C19" i="13"/>
  <c r="Q14" i="3"/>
  <c r="R14" s="1"/>
  <c r="O27"/>
  <c r="P27" s="1"/>
  <c r="O39" s="1"/>
  <c r="G18" i="2"/>
  <c r="L7" i="9"/>
  <c r="C15" i="3"/>
  <c r="D14"/>
  <c r="C27"/>
  <c r="C39" s="1"/>
  <c r="N28"/>
  <c r="N40" s="1"/>
  <c r="O15"/>
  <c r="D26"/>
  <c r="E26" s="1"/>
  <c r="D38" s="1"/>
  <c r="C5" i="13"/>
  <c r="F13" i="3"/>
  <c r="R13"/>
  <c r="R26"/>
  <c r="S26" s="1"/>
  <c r="Q38" s="1"/>
  <c r="C44" i="5" s="1"/>
  <c r="F18" i="13"/>
  <c r="G42" i="2" l="1"/>
  <c r="I23" i="9"/>
  <c r="L23" s="1"/>
  <c r="I8"/>
  <c r="L8" s="1"/>
  <c r="N16" i="3"/>
  <c r="N29" s="1"/>
  <c r="N41" s="1"/>
  <c r="G30" i="2"/>
  <c r="G31" s="1"/>
  <c r="T14" i="3"/>
  <c r="I19" i="13"/>
  <c r="T27" i="3"/>
  <c r="U27" s="1"/>
  <c r="T26"/>
  <c r="U26" s="1"/>
  <c r="I18" i="13"/>
  <c r="T13" i="3"/>
  <c r="U13" s="1"/>
  <c r="G26"/>
  <c r="H26" s="1"/>
  <c r="F38" s="1"/>
  <c r="C16" i="5" s="1"/>
  <c r="F5" i="13"/>
  <c r="G13" i="3"/>
  <c r="F19" i="13"/>
  <c r="R27" i="3"/>
  <c r="S27" s="1"/>
  <c r="Q39" s="1"/>
  <c r="C45" i="5" s="1"/>
  <c r="F14" i="3"/>
  <c r="G14" s="1"/>
  <c r="C6" i="13"/>
  <c r="D27" i="3"/>
  <c r="E27" s="1"/>
  <c r="D39" s="1"/>
  <c r="G19" i="2"/>
  <c r="C16" i="3"/>
  <c r="O28"/>
  <c r="P28" s="1"/>
  <c r="O40" s="1"/>
  <c r="C20" i="13"/>
  <c r="Q15" i="3"/>
  <c r="C28"/>
  <c r="C40" s="1"/>
  <c r="D15"/>
  <c r="G43" i="2" l="1"/>
  <c r="I24" i="9"/>
  <c r="L24" s="1"/>
  <c r="I9"/>
  <c r="L9" s="1"/>
  <c r="O16" i="3"/>
  <c r="C21" i="13" s="1"/>
  <c r="N17" i="3"/>
  <c r="O17" s="1"/>
  <c r="C29"/>
  <c r="C41" s="1"/>
  <c r="D16"/>
  <c r="U14"/>
  <c r="F44" i="5"/>
  <c r="F6" i="13"/>
  <c r="G27" i="3"/>
  <c r="H27" s="1"/>
  <c r="F39" s="1"/>
  <c r="C17" i="5" s="1"/>
  <c r="C33"/>
  <c r="E33" s="1"/>
  <c r="J33" s="1"/>
  <c r="N33" s="1"/>
  <c r="O33" s="1"/>
  <c r="R39" i="3"/>
  <c r="F20" i="13"/>
  <c r="R28" i="3"/>
  <c r="S28" s="1"/>
  <c r="Q40" s="1"/>
  <c r="C46" i="5" s="1"/>
  <c r="I26" i="3"/>
  <c r="J26" s="1"/>
  <c r="I13"/>
  <c r="J13" s="1"/>
  <c r="I5" i="13"/>
  <c r="C17" i="3"/>
  <c r="G20" i="2"/>
  <c r="C32" i="5"/>
  <c r="E32" s="1"/>
  <c r="J32" s="1"/>
  <c r="N32" s="1"/>
  <c r="O32" s="1"/>
  <c r="R38" i="3"/>
  <c r="R15"/>
  <c r="I27"/>
  <c r="J27" s="1"/>
  <c r="I6" i="13"/>
  <c r="I14" i="3"/>
  <c r="N18"/>
  <c r="D28"/>
  <c r="E28" s="1"/>
  <c r="D40" s="1"/>
  <c r="C7" i="13"/>
  <c r="F15" i="3"/>
  <c r="I25" i="9" l="1"/>
  <c r="L25" s="1"/>
  <c r="M25" s="1"/>
  <c r="O25" s="1"/>
  <c r="I10"/>
  <c r="L10" s="1"/>
  <c r="M10" s="1"/>
  <c r="Q16" i="3"/>
  <c r="R16" s="1"/>
  <c r="T16" s="1"/>
  <c r="O29"/>
  <c r="P29" s="1"/>
  <c r="O41" s="1"/>
  <c r="N30"/>
  <c r="N42" s="1"/>
  <c r="G28"/>
  <c r="H28" s="1"/>
  <c r="F40" s="1"/>
  <c r="C18" i="5" s="1"/>
  <c r="F7" i="13"/>
  <c r="C8"/>
  <c r="F16" i="3"/>
  <c r="G16" s="1"/>
  <c r="D29"/>
  <c r="E29" s="1"/>
  <c r="D41" s="1"/>
  <c r="T15"/>
  <c r="U15" s="1"/>
  <c r="T28"/>
  <c r="U28" s="1"/>
  <c r="I20" i="13"/>
  <c r="F16" i="5"/>
  <c r="J14" i="3"/>
  <c r="D17"/>
  <c r="C30"/>
  <c r="C42" s="1"/>
  <c r="G44" i="5"/>
  <c r="H44"/>
  <c r="O18" i="3"/>
  <c r="N31"/>
  <c r="N43" s="1"/>
  <c r="C18"/>
  <c r="G15"/>
  <c r="G38"/>
  <c r="C4" i="5"/>
  <c r="E4" s="1"/>
  <c r="J4" s="1"/>
  <c r="N4" s="1"/>
  <c r="O4" s="1"/>
  <c r="C5"/>
  <c r="E5" s="1"/>
  <c r="J5" s="1"/>
  <c r="N5" s="1"/>
  <c r="O5" s="1"/>
  <c r="G39" i="3"/>
  <c r="F45" i="5"/>
  <c r="Q17" i="3"/>
  <c r="C22" i="13"/>
  <c r="O30" i="3"/>
  <c r="P30" s="1"/>
  <c r="O42" s="1"/>
  <c r="V25" i="9" l="1"/>
  <c r="N25"/>
  <c r="M24"/>
  <c r="M23" s="1"/>
  <c r="F21" i="13"/>
  <c r="T29" i="3"/>
  <c r="U29" s="1"/>
  <c r="R41" s="1"/>
  <c r="R29"/>
  <c r="S29" s="1"/>
  <c r="Q41" s="1"/>
  <c r="C47" i="5" s="1"/>
  <c r="I21" i="13"/>
  <c r="U16" i="3"/>
  <c r="F46" i="5"/>
  <c r="R30" i="3"/>
  <c r="S30" s="1"/>
  <c r="Q42" s="1"/>
  <c r="C48" i="5" s="1"/>
  <c r="C54" s="1"/>
  <c r="F22" i="13"/>
  <c r="M9" i="9"/>
  <c r="O10"/>
  <c r="N10"/>
  <c r="O31" i="3"/>
  <c r="P31" s="1"/>
  <c r="O43" s="1"/>
  <c r="C23" i="13"/>
  <c r="Q18" i="3"/>
  <c r="Q19"/>
  <c r="C9" i="13"/>
  <c r="D30" i="3"/>
  <c r="E30" s="1"/>
  <c r="D42" s="1"/>
  <c r="F17"/>
  <c r="G17" s="1"/>
  <c r="F8" i="13"/>
  <c r="G29" i="3"/>
  <c r="H29" s="1"/>
  <c r="F41" s="1"/>
  <c r="C19" i="5" s="1"/>
  <c r="I7" i="13"/>
  <c r="I15" i="3"/>
  <c r="J15" s="1"/>
  <c r="I28"/>
  <c r="J28" s="1"/>
  <c r="I16"/>
  <c r="I29"/>
  <c r="J29" s="1"/>
  <c r="I8" i="13"/>
  <c r="R17" i="3"/>
  <c r="C34" i="5"/>
  <c r="E34" s="1"/>
  <c r="J34" s="1"/>
  <c r="N34" s="1"/>
  <c r="O34" s="1"/>
  <c r="R40" i="3"/>
  <c r="H16" i="5"/>
  <c r="G16"/>
  <c r="F17"/>
  <c r="G45"/>
  <c r="H45"/>
  <c r="D18" i="3"/>
  <c r="C31"/>
  <c r="C43" s="1"/>
  <c r="O24" i="9" l="1"/>
  <c r="V24"/>
  <c r="N24"/>
  <c r="C35" i="5"/>
  <c r="E35" s="1"/>
  <c r="J35" s="1"/>
  <c r="N35" s="1"/>
  <c r="O35" s="1"/>
  <c r="J16" i="3"/>
  <c r="F18" i="5"/>
  <c r="T30" i="3"/>
  <c r="U30" s="1"/>
  <c r="I22" i="13"/>
  <c r="T17" i="3"/>
  <c r="U17" s="1"/>
  <c r="G17" i="5"/>
  <c r="H17"/>
  <c r="F47"/>
  <c r="F23" i="13"/>
  <c r="R31" i="3"/>
  <c r="S31" s="1"/>
  <c r="Q43" s="1"/>
  <c r="C49" i="5" s="1"/>
  <c r="H46"/>
  <c r="G46"/>
  <c r="F24" i="13"/>
  <c r="R32" i="3"/>
  <c r="S32" s="1"/>
  <c r="Q44" s="1"/>
  <c r="C50" i="5" s="1"/>
  <c r="C55" s="1"/>
  <c r="R18" i="3"/>
  <c r="C6" i="5"/>
  <c r="E6" s="1"/>
  <c r="J6" s="1"/>
  <c r="N6" s="1"/>
  <c r="O6" s="1"/>
  <c r="G40" i="3"/>
  <c r="M8" i="9"/>
  <c r="O9"/>
  <c r="N9"/>
  <c r="C7" i="5"/>
  <c r="E7" s="1"/>
  <c r="J7" s="1"/>
  <c r="N7" s="1"/>
  <c r="O7" s="1"/>
  <c r="G41" i="3"/>
  <c r="M22" i="9"/>
  <c r="V23"/>
  <c r="O23"/>
  <c r="N23"/>
  <c r="I9" i="13"/>
  <c r="I30" i="3"/>
  <c r="J30" s="1"/>
  <c r="I17"/>
  <c r="F18"/>
  <c r="C10" i="13"/>
  <c r="F19" i="3"/>
  <c r="D31"/>
  <c r="E31" s="1"/>
  <c r="D43" s="1"/>
  <c r="G30"/>
  <c r="H30" s="1"/>
  <c r="F42" s="1"/>
  <c r="C20" i="5" s="1"/>
  <c r="C26" s="1"/>
  <c r="F9" i="13"/>
  <c r="F48" i="5" l="1"/>
  <c r="F19"/>
  <c r="J17" i="3"/>
  <c r="M7" i="9"/>
  <c r="O8"/>
  <c r="N8"/>
  <c r="C8" i="5"/>
  <c r="E8" s="1"/>
  <c r="J8" s="1"/>
  <c r="N8" s="1"/>
  <c r="O8" s="1"/>
  <c r="G42" i="3"/>
  <c r="T18"/>
  <c r="U18" s="1"/>
  <c r="F49" i="5" s="1"/>
  <c r="I23" i="13"/>
  <c r="T31" i="3"/>
  <c r="U31" s="1"/>
  <c r="G18" i="5"/>
  <c r="H18"/>
  <c r="G31" i="3"/>
  <c r="H31" s="1"/>
  <c r="F43" s="1"/>
  <c r="C21" i="5" s="1"/>
  <c r="F10" i="13"/>
  <c r="R42" i="3"/>
  <c r="C36" i="5"/>
  <c r="E36" s="1"/>
  <c r="J36" s="1"/>
  <c r="N36" s="1"/>
  <c r="O36" s="1"/>
  <c r="M21" i="9"/>
  <c r="O22"/>
  <c r="V22"/>
  <c r="N22"/>
  <c r="F11" i="13"/>
  <c r="G32" i="3"/>
  <c r="H32" s="1"/>
  <c r="F44" s="1"/>
  <c r="C22" i="5" s="1"/>
  <c r="C27" s="1"/>
  <c r="G47"/>
  <c r="H47"/>
  <c r="G18" i="3"/>
  <c r="G48" i="5" l="1"/>
  <c r="D54" s="1"/>
  <c r="H48"/>
  <c r="F20"/>
  <c r="V21" i="9"/>
  <c r="O21"/>
  <c r="M20"/>
  <c r="N21"/>
  <c r="H19" i="5"/>
  <c r="G19"/>
  <c r="R43" i="3"/>
  <c r="C37" i="5"/>
  <c r="E37" s="1"/>
  <c r="J37" s="1"/>
  <c r="N37" s="1"/>
  <c r="O37" s="1"/>
  <c r="H49"/>
  <c r="D55" s="1"/>
  <c r="G49"/>
  <c r="M6" i="9"/>
  <c r="O7"/>
  <c r="N7"/>
  <c r="I31" i="3"/>
  <c r="J31" s="1"/>
  <c r="I10" i="13"/>
  <c r="I18" i="3"/>
  <c r="J18" s="1"/>
  <c r="F21" i="5" s="1"/>
  <c r="M5" i="9" l="1"/>
  <c r="O6"/>
  <c r="N6"/>
  <c r="G21" i="5"/>
  <c r="H21"/>
  <c r="D27" s="1"/>
  <c r="H20"/>
  <c r="G20"/>
  <c r="D26" s="1"/>
  <c r="C9"/>
  <c r="E9" s="1"/>
  <c r="J9" s="1"/>
  <c r="N9" s="1"/>
  <c r="O9" s="1"/>
  <c r="G43" i="3"/>
  <c r="V20" i="9"/>
  <c r="V26" s="1"/>
  <c r="O20"/>
  <c r="O26" s="1"/>
  <c r="N20"/>
  <c r="N26" s="1"/>
  <c r="O5" l="1"/>
  <c r="O11" s="1"/>
  <c r="N5"/>
  <c r="N11" s="1"/>
  <c r="D23" i="13" l="1"/>
  <c r="D10"/>
  <c r="G24"/>
  <c r="G11"/>
  <c r="G23"/>
  <c r="G10"/>
  <c r="D22"/>
  <c r="D9"/>
  <c r="G22"/>
  <c r="G9"/>
  <c r="D21"/>
  <c r="D8"/>
  <c r="G21"/>
  <c r="G8"/>
  <c r="D20"/>
  <c r="D7"/>
  <c r="G20"/>
  <c r="G7"/>
  <c r="D19"/>
  <c r="D6"/>
  <c r="G19"/>
  <c r="G6"/>
  <c r="D18"/>
  <c r="D5"/>
  <c r="G18"/>
  <c r="J23"/>
  <c r="J21"/>
  <c r="J19"/>
  <c r="J10"/>
  <c r="J8"/>
  <c r="J6"/>
  <c r="T25" i="9"/>
  <c r="U25" s="1"/>
  <c r="T10"/>
  <c r="T24"/>
  <c r="U24" s="1"/>
  <c r="T9"/>
  <c r="T23"/>
  <c r="U23" s="1"/>
  <c r="T8"/>
  <c r="T22"/>
  <c r="U22" s="1"/>
  <c r="T7"/>
  <c r="T21"/>
  <c r="U21" s="1"/>
  <c r="T6"/>
  <c r="T20"/>
  <c r="U20" s="1"/>
  <c r="T5"/>
  <c r="J7" i="13" l="1"/>
  <c r="J9"/>
  <c r="J18"/>
  <c r="J20"/>
  <c r="J22"/>
  <c r="J5"/>
  <c r="V9" i="9"/>
  <c r="U9"/>
  <c r="U26"/>
  <c r="S29" s="1"/>
  <c r="V7"/>
  <c r="U7"/>
  <c r="V6"/>
  <c r="U6"/>
  <c r="V8"/>
  <c r="U8"/>
  <c r="V5"/>
  <c r="U5"/>
  <c r="V10"/>
  <c r="U10"/>
  <c r="G5" i="13"/>
  <c r="V11" i="9" l="1"/>
  <c r="U11"/>
  <c r="S14" l="1"/>
</calcChain>
</file>

<file path=xl/comments1.xml><?xml version="1.0" encoding="utf-8"?>
<comments xmlns="http://schemas.openxmlformats.org/spreadsheetml/2006/main">
  <authors>
    <author>Mariagrazia</author>
  </authors>
  <commentList>
    <comment ref="J3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Quindi il solaio si è assunto alto 22 cm=18cm+4cm, dove 4 cm è lo spessore della soletta</t>
        </r>
      </text>
    </comment>
    <comment ref="F8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Verificare valore!!
</t>
        </r>
      </text>
    </comment>
    <comment ref="C29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dovreebbe essere 30 cm con la camera d'aria, ma non viene contanto nel peso
</t>
        </r>
      </text>
    </comment>
    <comment ref="N29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dovreebbe essere 30 cm con la camera d'aria, ma non viene contanto nel peso
</t>
        </r>
      </text>
    </comment>
    <comment ref="A52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si sta supponendo una trave a spessore 22x60, cioè con uno spessore pari all'altezza del solaio
</t>
        </r>
      </text>
    </comment>
    <comment ref="A55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Il peso proprio  della scala è in genere un po' più grande di quello del solaio perché abbiamo marmo in alzata e pedata</t>
        </r>
      </text>
    </comment>
    <comment ref="Q60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Ho preso come L la lunghezza della trave</t>
        </r>
      </text>
    </comment>
    <comment ref="A61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Nel balcone non esistono coeff. Di continuità
</t>
        </r>
      </text>
    </comment>
    <comment ref="D77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Abbiamo tolto lo spessore della trave pari a 60 cm
</t>
        </r>
      </text>
    </comment>
    <comment ref="K77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Abbiamo tolto lo spessore della trave pari a 60 cm
</t>
        </r>
      </text>
    </comment>
    <comment ref="R77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Abbiamo tolto lo spessore della trave pari a 60 cm
</t>
        </r>
      </text>
    </comment>
    <comment ref="A79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pilastro più sollecitato
</t>
        </r>
      </text>
    </comment>
    <comment ref="B80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Coeff. Continuità solaio
</t>
        </r>
      </text>
    </comment>
    <comment ref="C80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coeff. Continuità trave
</t>
        </r>
      </text>
    </comment>
    <comment ref="R82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Abbiamo tolto lo spessore della trave pari a 60 cm
</t>
        </r>
      </text>
    </comment>
    <comment ref="R86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Abbiamo tolto lo spessore della trave pari a 60 cm
</t>
        </r>
      </text>
    </comment>
    <comment ref="R90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Abbiamo tolto lo spessore della trave pari a 60 cm
</t>
        </r>
      </text>
    </comment>
    <comment ref="A98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pilastro meno sollecitato
</t>
        </r>
      </text>
    </comment>
    <comment ref="B99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Coeff. Continuità solaio
</t>
        </r>
      </text>
    </comment>
    <comment ref="C99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coeff. Continuità trave
</t>
        </r>
      </text>
    </comment>
    <comment ref="A129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si sta supponendo una trave a spessore 22x60, cioè con uno spessore pari all'altezza del solaio
</t>
        </r>
      </text>
    </comment>
    <comment ref="A131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Il peso proprio  della scala è in genere un po' più grande di quello del solaio perché abbiamo marmo in alzata e pedata</t>
        </r>
      </text>
    </comment>
    <comment ref="A152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si sta supponendo una trave a spessore 22x60, cioè con uno spessore pari all'altezza del solaio
</t>
        </r>
      </text>
    </comment>
    <comment ref="A154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Il peso proprio  della scala è in genere un po' più grande di quello del solaio perché abbiamo marmo in alzata e pedata</t>
        </r>
      </text>
    </comment>
    <comment ref="G161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considero che in 1 m ci stanno 3 gradini
</t>
        </r>
      </text>
    </comment>
    <comment ref="P163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dividiamo per la larghezza della rampa ottenendo cosi un carico a mq)
</t>
        </r>
      </text>
    </comment>
    <comment ref="Q163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dividiamo per il cos dell'angolo della rampa ottenendo un carico a mq ma in proiezione in rampa
</t>
        </r>
      </text>
    </comment>
  </commentList>
</comments>
</file>

<file path=xl/comments2.xml><?xml version="1.0" encoding="utf-8"?>
<comments xmlns="http://schemas.openxmlformats.org/spreadsheetml/2006/main">
  <authors>
    <author>Mariagrazia</author>
  </authors>
  <commentList>
    <comment ref="B8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quando non grava il solaio, nelle travi perimetrali si prende lo sbalzo molt per 2
</t>
        </r>
      </text>
    </comment>
    <comment ref="G20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Poiché lo sbalzo grava solo su una porzione della trave, il carico agente si determina come il carico dello sbalzo per la lunghezza di questo (1,50 m), ottenendo così kN/m, dopo di divide il carico così ottenuto per la lunghezza della trave su cui grava il carico (1,45 m) ottenendo così kN/m^2. Infine si moltiplica per tutta la lunghezza della trave (3,4), ottenendo cosi un carico kN/m.</t>
        </r>
      </text>
    </comment>
    <comment ref="B122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Trave a spessore che grava come carico concentrato sulla trave che si sta considerando. Si considera un carico equivalente </t>
        </r>
      </text>
    </comment>
  </commentList>
</comments>
</file>

<file path=xl/comments3.xml><?xml version="1.0" encoding="utf-8"?>
<comments xmlns="http://schemas.openxmlformats.org/spreadsheetml/2006/main">
  <authors>
    <author>Mariagrazia</author>
  </authors>
  <commentList>
    <comment ref="K16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Si è trascurato il torrino
</t>
        </r>
      </text>
    </comment>
    <comment ref="K18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valore ricavato da file spettri direzione x, sostiuendo al valore del periodo di normativa, il valore 0,673 determinato con la formula di R, tenendo conto della correzione delle masse</t>
        </r>
      </text>
    </comment>
    <comment ref="K27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Si è trascurato il torrino
</t>
        </r>
      </text>
    </comment>
    <comment ref="K39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Si è trascurato il torrino
</t>
        </r>
      </text>
    </comment>
  </commentList>
</comments>
</file>

<file path=xl/comments4.xml><?xml version="1.0" encoding="utf-8"?>
<comments xmlns="http://schemas.openxmlformats.org/spreadsheetml/2006/main">
  <authors>
    <author>Mariagrazia</author>
  </authors>
  <commentList>
    <comment ref="D12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al posto di considerare 14, si è preso il numero preciso di pilastri per cui si suddivide il taglio
</t>
        </r>
      </text>
    </comment>
    <comment ref="B24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per i telai perimetrali si è considerato un incremento del 20% dei valori di Vpilastro, Mpilastro e Mtrave calcolati nella precedente tabella
</t>
        </r>
      </text>
    </comment>
    <comment ref="M24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per i telai perimetrali si è considerato un incremento del 20% dei valori di Vpilastro, Mpilastro e Mtrave calcolati nella precedente tabella
</t>
        </r>
      </text>
    </comment>
    <comment ref="B36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per i telai perimetrali si è considerato un incremento del 20% dei valori di Vpilastro, Mpilastro e Mtrave calcolati nella precedente tabella
</t>
        </r>
      </text>
    </comment>
    <comment ref="M36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per i telai perimetrali si è considerato un incremento del 20% dei valori di Vpilastro, Mpilastro e Mtrave calcolati nella precedente tabella
</t>
        </r>
      </text>
    </comment>
    <comment ref="E37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Stiamo considerando CD "A"</t>
        </r>
      </text>
    </comment>
    <comment ref="P37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Stiamo considerando CD "A"</t>
        </r>
      </text>
    </comment>
  </commentList>
</comments>
</file>

<file path=xl/comments5.xml><?xml version="1.0" encoding="utf-8"?>
<comments xmlns="http://schemas.openxmlformats.org/spreadsheetml/2006/main">
  <authors>
    <author>Mariagrazia</author>
  </authors>
  <commentList>
    <comment ref="C6" authorId="0">
      <text>
        <r>
          <rPr>
            <b/>
            <sz val="9"/>
            <color indexed="81"/>
            <rFont val="Tahoma"/>
            <charset val="1"/>
          </rPr>
          <t>Mariagrazia:</t>
        </r>
        <r>
          <rPr>
            <sz val="9"/>
            <color indexed="81"/>
            <rFont val="Tahoma"/>
            <charset val="1"/>
          </rPr>
          <t xml:space="preserve">
Sono quelle che andiamo ad insesire nel Tel nell'analisi statica (terza colonna-forze di carico)</t>
        </r>
      </text>
    </comment>
  </commentList>
</comments>
</file>

<file path=xl/sharedStrings.xml><?xml version="1.0" encoding="utf-8"?>
<sst xmlns="http://schemas.openxmlformats.org/spreadsheetml/2006/main" count="2464" uniqueCount="424">
  <si>
    <t>L [cm] =</t>
  </si>
  <si>
    <t>s [cm] =</t>
  </si>
  <si>
    <t xml:space="preserve">soletta </t>
  </si>
  <si>
    <t xml:space="preserve">travetti  </t>
  </si>
  <si>
    <t xml:space="preserve">laterizi </t>
  </si>
  <si>
    <r>
      <t>peso [kN</t>
    </r>
    <r>
      <rPr>
        <sz val="11"/>
        <color theme="1"/>
        <rFont val="Calibri"/>
        <family val="2"/>
        <scheme val="minor"/>
      </rPr>
      <t>]</t>
    </r>
  </si>
  <si>
    <r>
      <t>peso specifico [kN/m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]</t>
    </r>
  </si>
  <si>
    <t>TOTALE</t>
  </si>
  <si>
    <t>intonaco</t>
  </si>
  <si>
    <t>massetto alleggerito</t>
  </si>
  <si>
    <t>pavimento di granito</t>
  </si>
  <si>
    <t>h [m]</t>
  </si>
  <si>
    <t>larghezza [m]</t>
  </si>
  <si>
    <t>spessore [m]</t>
  </si>
  <si>
    <t>pavimento in gres</t>
  </si>
  <si>
    <t>tamponatura</t>
  </si>
  <si>
    <t>laterizi</t>
  </si>
  <si>
    <t>Solaio</t>
  </si>
  <si>
    <r>
      <t>a</t>
    </r>
    <r>
      <rPr>
        <vertAlign val="subscript"/>
        <sz val="11"/>
        <color theme="1"/>
        <rFont val="Symbol"/>
        <family val="1"/>
        <charset val="2"/>
      </rPr>
      <t>1</t>
    </r>
  </si>
  <si>
    <r>
      <t>a</t>
    </r>
    <r>
      <rPr>
        <vertAlign val="subscript"/>
        <sz val="11"/>
        <color theme="1"/>
        <rFont val="Symbol"/>
        <family val="1"/>
        <charset val="2"/>
      </rPr>
      <t>2</t>
    </r>
  </si>
  <si>
    <t>L  (P7-P8)</t>
  </si>
  <si>
    <t>L (balcone)</t>
  </si>
  <si>
    <t>Balcone</t>
  </si>
  <si>
    <r>
      <t>g</t>
    </r>
    <r>
      <rPr>
        <vertAlign val="subscript"/>
        <sz val="11"/>
        <color theme="1"/>
        <rFont val="Calibri"/>
        <family val="2"/>
        <scheme val="minor"/>
      </rPr>
      <t xml:space="preserve">d   </t>
    </r>
    <r>
      <rPr>
        <sz val="11"/>
        <color theme="1"/>
        <rFont val="Calibri"/>
        <family val="2"/>
        <scheme val="minor"/>
      </rPr>
      <t>[kN/m</t>
    </r>
    <r>
      <rPr>
        <sz val="11"/>
        <color theme="1"/>
        <rFont val="Calibri"/>
        <family val="2"/>
        <scheme val="minor"/>
      </rPr>
      <t>]</t>
    </r>
  </si>
  <si>
    <r>
      <t>q</t>
    </r>
    <r>
      <rPr>
        <vertAlign val="subscript"/>
        <sz val="11"/>
        <color theme="1"/>
        <rFont val="Calibri"/>
        <family val="2"/>
        <scheme val="minor"/>
      </rPr>
      <t xml:space="preserve">d   </t>
    </r>
    <r>
      <rPr>
        <sz val="11"/>
        <color theme="1"/>
        <rFont val="Calibri"/>
        <family val="2"/>
        <scheme val="minor"/>
      </rPr>
      <t>[kN/m</t>
    </r>
    <r>
      <rPr>
        <sz val="11"/>
        <color theme="1"/>
        <rFont val="Calibri"/>
        <family val="2"/>
        <scheme val="minor"/>
      </rPr>
      <t>]</t>
    </r>
  </si>
  <si>
    <t>Peso Proprio Trave</t>
  </si>
  <si>
    <t>BALCONE</t>
  </si>
  <si>
    <t>-</t>
  </si>
  <si>
    <t>TAMPONATURA</t>
  </si>
  <si>
    <t xml:space="preserve">massetto </t>
  </si>
  <si>
    <r>
      <t>Peso Proprio [kN/m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]</t>
    </r>
  </si>
  <si>
    <r>
      <t>Sovraccarichi Permaneti [kN/m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]</t>
    </r>
  </si>
  <si>
    <t>Peso Proprio [kN/m]</t>
  </si>
  <si>
    <t>LIMITI NORMATIVA SOLAIO</t>
  </si>
  <si>
    <t>LIMITI NORMATIVA BALCONE</t>
  </si>
  <si>
    <r>
      <t>N° pignatte su m</t>
    </r>
    <r>
      <rPr>
        <vertAlign val="superscript"/>
        <sz val="11"/>
        <color theme="1"/>
        <rFont val="Calibri"/>
        <family val="2"/>
        <scheme val="minor"/>
      </rPr>
      <t>2</t>
    </r>
  </si>
  <si>
    <t xml:space="preserve">TRAVE EMERGENTE (8-16) 30X60 </t>
  </si>
  <si>
    <r>
      <rPr>
        <b/>
        <sz val="11"/>
        <color theme="1"/>
        <rFont val="Calibri"/>
        <family val="2"/>
        <scheme val="minor"/>
      </rPr>
      <t>g</t>
    </r>
    <r>
      <rPr>
        <b/>
        <vertAlign val="subscript"/>
        <sz val="11"/>
        <color theme="1"/>
        <rFont val="Calibri"/>
        <family val="2"/>
        <scheme val="minor"/>
      </rPr>
      <t>k</t>
    </r>
  </si>
  <si>
    <r>
      <rPr>
        <b/>
        <sz val="11"/>
        <color theme="1"/>
        <rFont val="Calibri"/>
        <family val="2"/>
        <scheme val="minor"/>
      </rPr>
      <t>g</t>
    </r>
    <r>
      <rPr>
        <b/>
        <vertAlign val="subscript"/>
        <sz val="11"/>
        <color theme="1"/>
        <rFont val="Calibri"/>
        <family val="2"/>
        <scheme val="minor"/>
      </rPr>
      <t>k,tramezzi</t>
    </r>
  </si>
  <si>
    <r>
      <rPr>
        <b/>
        <sz val="11"/>
        <color theme="1"/>
        <rFont val="Calibri"/>
        <family val="2"/>
        <scheme val="minor"/>
      </rPr>
      <t>q</t>
    </r>
    <r>
      <rPr>
        <b/>
        <vertAlign val="subscript"/>
        <sz val="11"/>
        <color theme="1"/>
        <rFont val="Calibri"/>
        <family val="2"/>
        <scheme val="minor"/>
      </rPr>
      <t>k</t>
    </r>
  </si>
  <si>
    <r>
      <rPr>
        <b/>
        <sz val="11"/>
        <color theme="1"/>
        <rFont val="Calibri"/>
        <family val="2"/>
        <scheme val="minor"/>
      </rPr>
      <t>g</t>
    </r>
    <r>
      <rPr>
        <b/>
        <vertAlign val="subscript"/>
        <sz val="11"/>
        <color theme="1"/>
        <rFont val="Calibri"/>
        <family val="2"/>
        <scheme val="minor"/>
      </rPr>
      <t>d</t>
    </r>
  </si>
  <si>
    <r>
      <rPr>
        <b/>
        <sz val="11"/>
        <color theme="1"/>
        <rFont val="Calibri"/>
        <family val="2"/>
        <scheme val="minor"/>
      </rPr>
      <t>g</t>
    </r>
    <r>
      <rPr>
        <b/>
        <vertAlign val="subscript"/>
        <sz val="11"/>
        <color theme="1"/>
        <rFont val="Calibri"/>
        <family val="2"/>
        <scheme val="minor"/>
      </rPr>
      <t>d,tramezzi</t>
    </r>
  </si>
  <si>
    <r>
      <rPr>
        <b/>
        <sz val="11"/>
        <color theme="1"/>
        <rFont val="Calibri"/>
        <family val="2"/>
        <scheme val="minor"/>
      </rPr>
      <t>q</t>
    </r>
    <r>
      <rPr>
        <b/>
        <vertAlign val="subscript"/>
        <sz val="11"/>
        <color theme="1"/>
        <rFont val="Calibri"/>
        <family val="2"/>
        <scheme val="minor"/>
      </rPr>
      <t>d</t>
    </r>
  </si>
  <si>
    <r>
      <rPr>
        <b/>
        <sz val="11"/>
        <color theme="1"/>
        <rFont val="Calibri"/>
        <family val="2"/>
        <scheme val="minor"/>
      </rPr>
      <t>g</t>
    </r>
    <r>
      <rPr>
        <b/>
        <vertAlign val="subscript"/>
        <sz val="11"/>
        <color theme="1"/>
        <rFont val="Calibri"/>
        <family val="2"/>
        <scheme val="minor"/>
      </rPr>
      <t xml:space="preserve">d </t>
    </r>
    <r>
      <rPr>
        <b/>
        <sz val="11"/>
        <color theme="1"/>
        <rFont val="Calibri"/>
        <family val="2"/>
        <scheme val="minor"/>
      </rPr>
      <t>+ q</t>
    </r>
    <r>
      <rPr>
        <b/>
        <vertAlign val="subscript"/>
        <sz val="11"/>
        <color theme="1"/>
        <rFont val="Calibri"/>
        <family val="2"/>
        <scheme val="minor"/>
      </rPr>
      <t>d</t>
    </r>
  </si>
  <si>
    <t>Campata 8-16</t>
  </si>
  <si>
    <t>Tamponatura</t>
  </si>
  <si>
    <t>MATERIALI</t>
  </si>
  <si>
    <t>Laterizi Forati</t>
  </si>
  <si>
    <t>Dimensioni</t>
  </si>
  <si>
    <t>18x33x40</t>
  </si>
  <si>
    <t>H interpiano [m]:</t>
  </si>
  <si>
    <t>Massetto</t>
  </si>
  <si>
    <t>4 cm</t>
  </si>
  <si>
    <t>Massetto Allegerito</t>
  </si>
  <si>
    <t>8 cm</t>
  </si>
  <si>
    <r>
      <t>g</t>
    </r>
    <r>
      <rPr>
        <b/>
        <vertAlign val="subscript"/>
        <sz val="11"/>
        <color theme="1"/>
        <rFont val="Calibri"/>
        <family val="2"/>
        <scheme val="minor"/>
      </rPr>
      <t xml:space="preserve">k </t>
    </r>
    <r>
      <rPr>
        <b/>
        <sz val="11"/>
        <color theme="1"/>
        <rFont val="Calibri"/>
        <family val="2"/>
        <scheme val="minor"/>
      </rPr>
      <t xml:space="preserve">+ </t>
    </r>
    <r>
      <rPr>
        <b/>
        <sz val="11"/>
        <color theme="1"/>
        <rFont val="Symbol"/>
        <family val="1"/>
        <charset val="2"/>
      </rPr>
      <t>y</t>
    </r>
    <r>
      <rPr>
        <b/>
        <vertAlign val="subscript"/>
        <sz val="11"/>
        <color theme="1"/>
        <rFont val="Symbol"/>
        <family val="1"/>
        <charset val="2"/>
      </rPr>
      <t>2</t>
    </r>
    <r>
      <rPr>
        <b/>
        <sz val="11"/>
        <color theme="1"/>
        <rFont val="Calibri"/>
        <family val="2"/>
        <scheme val="minor"/>
      </rPr>
      <t>q</t>
    </r>
    <r>
      <rPr>
        <b/>
        <vertAlign val="subscript"/>
        <sz val="11"/>
        <color theme="1"/>
        <rFont val="Calibri"/>
        <family val="2"/>
        <scheme val="minor"/>
      </rPr>
      <t>k</t>
    </r>
  </si>
  <si>
    <r>
      <t xml:space="preserve"> </t>
    </r>
    <r>
      <rPr>
        <b/>
        <sz val="11"/>
        <color theme="1"/>
        <rFont val="Symbol"/>
        <family val="1"/>
        <charset val="2"/>
      </rPr>
      <t>y</t>
    </r>
    <r>
      <rPr>
        <b/>
        <vertAlign val="subscript"/>
        <sz val="11"/>
        <color theme="1"/>
        <rFont val="Symbol"/>
        <family val="1"/>
        <charset val="2"/>
      </rPr>
      <t>2</t>
    </r>
    <r>
      <rPr>
        <b/>
        <sz val="11"/>
        <color theme="1"/>
        <rFont val="Calibri"/>
        <family val="2"/>
        <scheme val="minor"/>
      </rPr>
      <t>q</t>
    </r>
    <r>
      <rPr>
        <b/>
        <vertAlign val="subscript"/>
        <sz val="11"/>
        <color theme="1"/>
        <rFont val="Calibri"/>
        <family val="2"/>
        <scheme val="minor"/>
      </rPr>
      <t>k</t>
    </r>
  </si>
  <si>
    <r>
      <t xml:space="preserve"> </t>
    </r>
    <r>
      <rPr>
        <b/>
        <sz val="11"/>
        <color theme="1"/>
        <rFont val="Symbol"/>
        <family val="1"/>
        <charset val="2"/>
      </rPr>
      <t>y</t>
    </r>
    <r>
      <rPr>
        <b/>
        <vertAlign val="subscript"/>
        <sz val="11"/>
        <color theme="1"/>
        <rFont val="Symbol"/>
        <family val="1"/>
        <charset val="2"/>
      </rPr>
      <t>2</t>
    </r>
    <r>
      <rPr>
        <b/>
        <sz val="11"/>
        <color theme="1"/>
        <rFont val="Calibri"/>
        <family val="2"/>
        <scheme val="minor"/>
      </rPr>
      <t/>
    </r>
  </si>
  <si>
    <r>
      <t>g</t>
    </r>
    <r>
      <rPr>
        <b/>
        <vertAlign val="subscript"/>
        <sz val="11"/>
        <color theme="1"/>
        <rFont val="Calibri"/>
        <family val="2"/>
        <scheme val="minor"/>
      </rPr>
      <t xml:space="preserve">k </t>
    </r>
    <r>
      <rPr>
        <b/>
        <sz val="11"/>
        <color theme="1"/>
        <rFont val="Calibri"/>
        <family val="2"/>
        <scheme val="minor"/>
      </rPr>
      <t/>
    </r>
  </si>
  <si>
    <r>
      <t>q</t>
    </r>
    <r>
      <rPr>
        <b/>
        <vertAlign val="subscript"/>
        <sz val="11"/>
        <color theme="1"/>
        <rFont val="Calibri"/>
        <family val="2"/>
        <scheme val="minor"/>
      </rPr>
      <t>k</t>
    </r>
  </si>
  <si>
    <t>in assenza di sisma:</t>
  </si>
  <si>
    <t xml:space="preserve">in presenza di sisma: </t>
  </si>
  <si>
    <t>Momento Flettente - Trave Emergente</t>
  </si>
  <si>
    <t>Campata 16-24</t>
  </si>
  <si>
    <t>L  (P15-P26)</t>
  </si>
  <si>
    <r>
      <t>g</t>
    </r>
    <r>
      <rPr>
        <b/>
        <vertAlign val="subscript"/>
        <sz val="11"/>
        <color theme="1"/>
        <rFont val="Calibri"/>
        <family val="2"/>
        <scheme val="minor"/>
      </rPr>
      <t xml:space="preserve">k </t>
    </r>
    <r>
      <rPr>
        <b/>
        <sz val="11"/>
        <color theme="1"/>
        <rFont val="Calibri"/>
        <family val="2"/>
        <scheme val="minor"/>
      </rPr>
      <t>+ g</t>
    </r>
    <r>
      <rPr>
        <b/>
        <vertAlign val="subscript"/>
        <sz val="11"/>
        <color theme="1"/>
        <rFont val="Calibri"/>
        <family val="2"/>
        <scheme val="minor"/>
      </rPr>
      <t>k,tramezzi</t>
    </r>
  </si>
  <si>
    <t>r</t>
  </si>
  <si>
    <t>L [m]</t>
  </si>
  <si>
    <t>[kN/m]</t>
  </si>
  <si>
    <t>M [kNm]</t>
  </si>
  <si>
    <t>Momento Flettente - Trave a spessore</t>
  </si>
  <si>
    <t>22x60</t>
  </si>
  <si>
    <t>b (larghezza) [m]</t>
  </si>
  <si>
    <t xml:space="preserve">d (altezza utile) [m] </t>
  </si>
  <si>
    <t>c [m]</t>
  </si>
  <si>
    <t>Impalcato</t>
  </si>
  <si>
    <r>
      <rPr>
        <b/>
        <sz val="11"/>
        <color theme="1"/>
        <rFont val="Calibri"/>
        <family val="2"/>
        <scheme val="minor"/>
      </rPr>
      <t>Superficie [m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]</t>
    </r>
  </si>
  <si>
    <t>Masse [kg]</t>
  </si>
  <si>
    <r>
      <t>C</t>
    </r>
    <r>
      <rPr>
        <vertAlign val="subscript"/>
        <sz val="11"/>
        <color theme="1"/>
        <rFont val="Calibri"/>
        <family val="2"/>
        <scheme val="minor"/>
      </rPr>
      <t>1</t>
    </r>
  </si>
  <si>
    <t>H</t>
  </si>
  <si>
    <r>
      <t>T</t>
    </r>
    <r>
      <rPr>
        <vertAlign val="subscript"/>
        <sz val="11"/>
        <color theme="1"/>
        <rFont val="Calibri"/>
        <family val="2"/>
        <scheme val="minor"/>
      </rPr>
      <t>1</t>
    </r>
  </si>
  <si>
    <t>Quota z [m]</t>
  </si>
  <si>
    <t>Sd (T) SLV</t>
  </si>
  <si>
    <t>Vb</t>
  </si>
  <si>
    <t>V [kN]</t>
  </si>
  <si>
    <t>30x60</t>
  </si>
  <si>
    <t>b [m]</t>
  </si>
  <si>
    <t>d [m]</t>
  </si>
  <si>
    <r>
      <t>Peso Impalcato W [kN</t>
    </r>
    <r>
      <rPr>
        <b/>
        <sz val="11"/>
        <color theme="1"/>
        <rFont val="Calibri"/>
        <family val="2"/>
        <scheme val="minor"/>
      </rPr>
      <t>]</t>
    </r>
  </si>
  <si>
    <r>
      <t>Peso Impalcato [kN</t>
    </r>
    <r>
      <rPr>
        <b/>
        <sz val="11"/>
        <color theme="1"/>
        <rFont val="Calibri"/>
        <family val="2"/>
        <scheme val="minor"/>
      </rPr>
      <t>]</t>
    </r>
  </si>
  <si>
    <r>
      <t>W*z [kNm</t>
    </r>
    <r>
      <rPr>
        <b/>
        <sz val="11"/>
        <color theme="1"/>
        <rFont val="Calibri"/>
        <family val="2"/>
        <scheme val="minor"/>
      </rPr>
      <t>]</t>
    </r>
  </si>
  <si>
    <t>Parametri Spettro di Progetto</t>
  </si>
  <si>
    <r>
      <t>g</t>
    </r>
    <r>
      <rPr>
        <vertAlign val="subscript"/>
        <sz val="11"/>
        <color theme="1"/>
        <rFont val="Calibri"/>
        <family val="2"/>
        <scheme val="minor"/>
      </rPr>
      <t xml:space="preserve">d  </t>
    </r>
    <r>
      <rPr>
        <vertAlign val="subscript"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[kN/m]</t>
    </r>
  </si>
  <si>
    <t>n° pilastri</t>
  </si>
  <si>
    <t>direzione x</t>
  </si>
  <si>
    <t>direzione y</t>
  </si>
  <si>
    <t>n° pilastri torrino</t>
  </si>
  <si>
    <r>
      <t>V</t>
    </r>
    <r>
      <rPr>
        <b/>
        <vertAlign val="subscript"/>
        <sz val="11"/>
        <color theme="1"/>
        <rFont val="Calibri"/>
        <family val="2"/>
        <scheme val="minor"/>
      </rPr>
      <t>pilastri, i</t>
    </r>
    <r>
      <rPr>
        <b/>
        <sz val="11"/>
        <color theme="1"/>
        <rFont val="Calibri"/>
        <family val="2"/>
        <scheme val="minor"/>
      </rPr>
      <t xml:space="preserve"> [kN]</t>
    </r>
  </si>
  <si>
    <t>H interpiano [m]</t>
  </si>
  <si>
    <t>piede</t>
  </si>
  <si>
    <r>
      <t>M</t>
    </r>
    <r>
      <rPr>
        <b/>
        <vertAlign val="subscript"/>
        <sz val="11"/>
        <color theme="1"/>
        <rFont val="Calibri"/>
        <family val="2"/>
        <scheme val="minor"/>
      </rPr>
      <t>pilastro</t>
    </r>
    <r>
      <rPr>
        <b/>
        <sz val="11"/>
        <color theme="1"/>
        <rFont val="Calibri"/>
        <family val="2"/>
        <scheme val="minor"/>
      </rPr>
      <t xml:space="preserve"> [kNm]</t>
    </r>
  </si>
  <si>
    <r>
      <t>M</t>
    </r>
    <r>
      <rPr>
        <b/>
        <vertAlign val="subscript"/>
        <sz val="11"/>
        <color theme="1"/>
        <rFont val="Calibri"/>
        <family val="2"/>
        <scheme val="minor"/>
      </rPr>
      <t>trave</t>
    </r>
    <r>
      <rPr>
        <b/>
        <sz val="11"/>
        <color theme="1"/>
        <rFont val="Calibri"/>
        <family val="2"/>
        <scheme val="minor"/>
      </rPr>
      <t xml:space="preserve"> [kNm]</t>
    </r>
  </si>
  <si>
    <t>H interpiano  [m]</t>
  </si>
  <si>
    <t>piano interrato</t>
  </si>
  <si>
    <r>
      <t>V</t>
    </r>
    <r>
      <rPr>
        <b/>
        <vertAlign val="subscript"/>
        <sz val="11"/>
        <color theme="1"/>
        <rFont val="Calibri"/>
        <family val="2"/>
        <scheme val="minor"/>
      </rPr>
      <t xml:space="preserve">trave </t>
    </r>
    <r>
      <rPr>
        <b/>
        <sz val="11"/>
        <color theme="1"/>
        <rFont val="Calibri"/>
        <family val="2"/>
        <scheme val="minor"/>
      </rPr>
      <t>[kN]</t>
    </r>
  </si>
  <si>
    <t>L [m] =</t>
  </si>
  <si>
    <t>s [m] =</t>
  </si>
  <si>
    <r>
      <t>D</t>
    </r>
    <r>
      <rPr>
        <b/>
        <sz val="11"/>
        <color theme="1"/>
        <rFont val="Calibri"/>
        <family val="2"/>
        <scheme val="minor"/>
      </rPr>
      <t>N [kN]</t>
    </r>
  </si>
  <si>
    <t>INCREMENTO PER ECCENTRICITA'</t>
  </si>
  <si>
    <r>
      <t>20% di M</t>
    </r>
    <r>
      <rPr>
        <b/>
        <vertAlign val="subscript"/>
        <sz val="11"/>
        <color theme="1"/>
        <rFont val="Calibri"/>
        <family val="2"/>
        <scheme val="minor"/>
      </rPr>
      <t>pilastro</t>
    </r>
    <r>
      <rPr>
        <b/>
        <sz val="11"/>
        <color theme="1"/>
        <rFont val="Calibri"/>
        <family val="2"/>
        <scheme val="minor"/>
      </rPr>
      <t xml:space="preserve"> [kNm]</t>
    </r>
  </si>
  <si>
    <r>
      <t>20% di  V</t>
    </r>
    <r>
      <rPr>
        <b/>
        <vertAlign val="subscript"/>
        <sz val="11"/>
        <color theme="1"/>
        <rFont val="Calibri"/>
        <family val="2"/>
        <scheme val="minor"/>
      </rPr>
      <t>pilastri, i</t>
    </r>
    <r>
      <rPr>
        <b/>
        <sz val="11"/>
        <color theme="1"/>
        <rFont val="Calibri"/>
        <family val="2"/>
        <scheme val="minor"/>
      </rPr>
      <t xml:space="preserve"> [kN]</t>
    </r>
  </si>
  <si>
    <r>
      <t>20% di M</t>
    </r>
    <r>
      <rPr>
        <b/>
        <vertAlign val="subscript"/>
        <sz val="11"/>
        <color theme="1"/>
        <rFont val="Calibri"/>
        <family val="2"/>
        <scheme val="minor"/>
      </rPr>
      <t>trave</t>
    </r>
    <r>
      <rPr>
        <b/>
        <sz val="11"/>
        <color theme="1"/>
        <rFont val="Calibri"/>
        <family val="2"/>
        <scheme val="minor"/>
      </rPr>
      <t xml:space="preserve"> [kNm]</t>
    </r>
  </si>
  <si>
    <t>sovraresistenza</t>
  </si>
  <si>
    <t>GERARCHIE DELLE RESISTENZE</t>
  </si>
  <si>
    <t>r'</t>
  </si>
  <si>
    <r>
      <t>M</t>
    </r>
    <r>
      <rPr>
        <b/>
        <vertAlign val="subscript"/>
        <sz val="11"/>
        <color theme="1"/>
        <rFont val="Calibri"/>
        <family val="2"/>
        <scheme val="minor"/>
      </rPr>
      <t>c. verticali</t>
    </r>
    <r>
      <rPr>
        <b/>
        <sz val="11"/>
        <color theme="1"/>
        <rFont val="Calibri"/>
        <family val="2"/>
        <scheme val="minor"/>
      </rPr>
      <t xml:space="preserve"> (con sisma) [kNm]</t>
    </r>
  </si>
  <si>
    <r>
      <t>M</t>
    </r>
    <r>
      <rPr>
        <b/>
        <vertAlign val="subscript"/>
        <sz val="11"/>
        <color theme="1"/>
        <rFont val="Calibri"/>
        <family val="2"/>
        <scheme val="minor"/>
      </rPr>
      <t>max</t>
    </r>
    <r>
      <rPr>
        <b/>
        <sz val="11"/>
        <color theme="1"/>
        <rFont val="Calibri"/>
        <family val="2"/>
        <scheme val="minor"/>
      </rPr>
      <t xml:space="preserve"> [kNm]</t>
    </r>
  </si>
  <si>
    <t xml:space="preserve">Calcolo Altezza Utile </t>
  </si>
  <si>
    <t xml:space="preserve">Dimensionamento </t>
  </si>
  <si>
    <r>
      <t>Area Influenza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</si>
  <si>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t>Peso Proprio Pilastro</t>
  </si>
  <si>
    <t>L influenza [m]</t>
  </si>
  <si>
    <t>PILASTRO 16 30x70</t>
  </si>
  <si>
    <t>altezza [m]</t>
  </si>
  <si>
    <t>A</t>
  </si>
  <si>
    <t>B</t>
  </si>
  <si>
    <t>C</t>
  </si>
  <si>
    <t>D</t>
  </si>
  <si>
    <t>Somma</t>
  </si>
  <si>
    <t>Trave emergente (P8-P16)</t>
  </si>
  <si>
    <t>L _solaio [m]</t>
  </si>
  <si>
    <t>L_balcone [m]</t>
  </si>
  <si>
    <t>L_trave [m]</t>
  </si>
  <si>
    <r>
      <t>g</t>
    </r>
    <r>
      <rPr>
        <b/>
        <vertAlign val="subscript"/>
        <sz val="11"/>
        <color theme="1"/>
        <rFont val="Calibri"/>
        <family val="2"/>
        <scheme val="minor"/>
      </rPr>
      <t xml:space="preserve">d </t>
    </r>
    <r>
      <rPr>
        <b/>
        <sz val="11"/>
        <color theme="1"/>
        <rFont val="Calibri"/>
        <family val="2"/>
        <scheme val="minor"/>
      </rPr>
      <t>+ q</t>
    </r>
    <r>
      <rPr>
        <b/>
        <vertAlign val="subscript"/>
        <sz val="11"/>
        <color theme="1"/>
        <rFont val="Calibri"/>
        <family val="2"/>
        <scheme val="minor"/>
      </rPr>
      <t>d</t>
    </r>
  </si>
  <si>
    <t>TOTALE                                        [kN]</t>
  </si>
  <si>
    <t>Trave emergente (P15-P16)</t>
  </si>
  <si>
    <t>Trave a spessore (P16-P24)</t>
  </si>
  <si>
    <t>Trave emergente (P7-P8)</t>
  </si>
  <si>
    <t xml:space="preserve"> Sforzo Normale [kN]</t>
  </si>
  <si>
    <t>SOLAIO PIANO TIPO</t>
  </si>
  <si>
    <t>min</t>
  </si>
  <si>
    <t>max</t>
  </si>
  <si>
    <t>Solaio Torrino</t>
  </si>
  <si>
    <t>Torrino + 6</t>
  </si>
  <si>
    <t>1 testa</t>
  </si>
  <si>
    <t>N [kN]</t>
  </si>
  <si>
    <t>Coppie M-N più gravose</t>
  </si>
  <si>
    <t>N[kN]</t>
  </si>
  <si>
    <r>
      <t>[ M, N</t>
    </r>
    <r>
      <rPr>
        <vertAlign val="subscript"/>
        <sz val="11"/>
        <color theme="1"/>
        <rFont val="Calibri"/>
        <family val="2"/>
        <scheme val="minor"/>
      </rPr>
      <t>MIN</t>
    </r>
    <r>
      <rPr>
        <sz val="11"/>
        <color theme="1"/>
        <rFont val="Calibri"/>
        <family val="2"/>
        <scheme val="minor"/>
      </rPr>
      <t>]</t>
    </r>
  </si>
  <si>
    <r>
      <t>[M, N</t>
    </r>
    <r>
      <rPr>
        <vertAlign val="subscript"/>
        <sz val="11"/>
        <color theme="1"/>
        <rFont val="Calibri"/>
        <family val="2"/>
        <scheme val="minor"/>
      </rPr>
      <t>MAX</t>
    </r>
    <r>
      <rPr>
        <sz val="11"/>
        <color theme="1"/>
        <rFont val="Calibri"/>
        <family val="2"/>
        <scheme val="minor"/>
      </rPr>
      <t>]</t>
    </r>
  </si>
  <si>
    <t xml:space="preserve">piano </t>
  </si>
  <si>
    <t>4, 3, 2</t>
  </si>
  <si>
    <r>
      <t>Peso Unitario [kN/m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] </t>
    </r>
  </si>
  <si>
    <t>Ordine</t>
  </si>
  <si>
    <t xml:space="preserve">Kx </t>
  </si>
  <si>
    <t xml:space="preserve">Ky </t>
  </si>
  <si>
    <t>torrino + 6</t>
  </si>
  <si>
    <t>[kN/mm]</t>
  </si>
  <si>
    <t>Forza F [kN]</t>
  </si>
  <si>
    <t>Taglio V [kN]</t>
  </si>
  <si>
    <t>Spostamenti di piano - direzione x</t>
  </si>
  <si>
    <t>[kN]</t>
  </si>
  <si>
    <t>dr</t>
  </si>
  <si>
    <t>[mm]</t>
  </si>
  <si>
    <t>u</t>
  </si>
  <si>
    <t>V i</t>
  </si>
  <si>
    <t>F u</t>
  </si>
  <si>
    <t>[kN mm]</t>
  </si>
  <si>
    <r>
      <t>m u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</si>
  <si>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t>[kN mm 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</si>
  <si>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t>m</t>
  </si>
  <si>
    <r>
      <t>[kN 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/m]</t>
    </r>
  </si>
  <si>
    <t>Formula di Rayleigh :           T=</t>
  </si>
  <si>
    <t>s</t>
  </si>
  <si>
    <t>Stima rigidezze</t>
  </si>
  <si>
    <t xml:space="preserve">Pilastro </t>
  </si>
  <si>
    <t>dimensione</t>
  </si>
  <si>
    <t>2 emergenti</t>
  </si>
  <si>
    <t>7-15-23</t>
  </si>
  <si>
    <t>1 emergente</t>
  </si>
  <si>
    <t>1 a spessore</t>
  </si>
  <si>
    <t>n°</t>
  </si>
  <si>
    <t>ki [kN/mm]</t>
  </si>
  <si>
    <r>
      <t>k</t>
    </r>
    <r>
      <rPr>
        <vertAlign val="subscript"/>
        <sz val="11"/>
        <color theme="1"/>
        <rFont val="Calibri"/>
        <family val="2"/>
        <scheme val="minor"/>
      </rPr>
      <t xml:space="preserve">tot </t>
    </r>
    <r>
      <rPr>
        <sz val="11"/>
        <color theme="1"/>
        <rFont val="Calibri"/>
        <family val="2"/>
        <scheme val="minor"/>
      </rPr>
      <t>[kN/mm]</t>
    </r>
  </si>
  <si>
    <t>2 emergente</t>
  </si>
  <si>
    <t>n° travi [30x50]</t>
  </si>
  <si>
    <t>30x50</t>
  </si>
  <si>
    <t xml:space="preserve"> 4, 3, 2</t>
  </si>
  <si>
    <t>1 emergenti</t>
  </si>
  <si>
    <t>11-19</t>
  </si>
  <si>
    <t>n° travi [30x60]</t>
  </si>
  <si>
    <t>20</t>
  </si>
  <si>
    <t>1-4-9-17-25</t>
  </si>
  <si>
    <t>30x70</t>
  </si>
  <si>
    <t>70x30</t>
  </si>
  <si>
    <t>70X22</t>
  </si>
  <si>
    <t>2-10-18-26</t>
  </si>
  <si>
    <t>TOTATLE</t>
  </si>
  <si>
    <t>8-16-24-31</t>
  </si>
  <si>
    <t>Bilanciamento delle rigidezze_piano tipo - direzione x</t>
  </si>
  <si>
    <t>x =</t>
  </si>
  <si>
    <t>y =</t>
  </si>
  <si>
    <t>somma</t>
  </si>
  <si>
    <t>somma*y</t>
  </si>
  <si>
    <r>
      <t>somma*y</t>
    </r>
    <r>
      <rPr>
        <vertAlign val="superscript"/>
        <sz val="11"/>
        <color theme="1"/>
        <rFont val="Calibri"/>
        <family val="2"/>
        <scheme val="minor"/>
      </rPr>
      <t>2</t>
    </r>
  </si>
  <si>
    <t>Bilanciamento delle rigidezze_piano tipo - direzione y</t>
  </si>
  <si>
    <t>somma*x</t>
  </si>
  <si>
    <r>
      <t>somma*x</t>
    </r>
    <r>
      <rPr>
        <vertAlign val="superscript"/>
        <sz val="11"/>
        <color theme="1"/>
        <rFont val="Calibri"/>
        <family val="2"/>
        <scheme val="minor"/>
      </rPr>
      <t>2</t>
    </r>
  </si>
  <si>
    <t>Bilanciamento delle rigidezze_piano 1 - direzione x</t>
  </si>
  <si>
    <t>Bilanciamento delle rigidezze_piano 1 - direzione y</t>
  </si>
  <si>
    <t>ordine</t>
  </si>
  <si>
    <t>Σkx</t>
  </si>
  <si>
    <t>Σky</t>
  </si>
  <si>
    <t>yGk</t>
  </si>
  <si>
    <t>xGk</t>
  </si>
  <si>
    <t>6 + torrino</t>
  </si>
  <si>
    <t>Bilanciamento delle rigidezze_piano 5 - direzione x</t>
  </si>
  <si>
    <t>Bilanciamento delle rigidezze_piano 5 - direzione y</t>
  </si>
  <si>
    <t>xGm</t>
  </si>
  <si>
    <t>yGm</t>
  </si>
  <si>
    <t xml:space="preserve">x </t>
  </si>
  <si>
    <t>p. equivalenti</t>
  </si>
  <si>
    <t xml:space="preserve">y </t>
  </si>
  <si>
    <t>Bilanciamento delle rigidezze_piano 6 - direzione x</t>
  </si>
  <si>
    <t>Bilanciamento delle rigidezze_piano 6 - direzione y</t>
  </si>
  <si>
    <t>previsto</t>
  </si>
  <si>
    <t>Telaio 1-2</t>
  </si>
  <si>
    <t>Telaio 3</t>
  </si>
  <si>
    <t>TEL08</t>
  </si>
  <si>
    <t>Telaio 4</t>
  </si>
  <si>
    <t>Telaio 5</t>
  </si>
  <si>
    <t>u_TEL08</t>
  </si>
  <si>
    <t>Sisma direzione x</t>
  </si>
  <si>
    <t>Sisma direzione y</t>
  </si>
  <si>
    <t>Spostamenti di piano - direzione y</t>
  </si>
  <si>
    <t>TELAI IN DIREZIONE X</t>
  </si>
  <si>
    <t>TELAI IN DIREZIONE Y</t>
  </si>
  <si>
    <t>Telaio 6 -13</t>
  </si>
  <si>
    <t>Telaio 7-12</t>
  </si>
  <si>
    <t>Telaio 8-11</t>
  </si>
  <si>
    <t>Telaio 9-10</t>
  </si>
  <si>
    <r>
      <t>F</t>
    </r>
    <r>
      <rPr>
        <b/>
        <vertAlign val="subscript"/>
        <sz val="11"/>
        <color theme="1"/>
        <rFont val="Calibri"/>
        <family val="2"/>
        <scheme val="minor"/>
      </rPr>
      <t xml:space="preserve">X </t>
    </r>
    <r>
      <rPr>
        <b/>
        <sz val="11"/>
        <color theme="1"/>
        <rFont val="Calibri"/>
        <family val="2"/>
        <scheme val="minor"/>
      </rPr>
      <t>u</t>
    </r>
    <r>
      <rPr>
        <b/>
        <vertAlign val="subscript"/>
        <sz val="11"/>
        <color theme="1"/>
        <rFont val="Calibri"/>
        <family val="2"/>
        <scheme val="minor"/>
      </rPr>
      <t>Tel08</t>
    </r>
  </si>
  <si>
    <r>
      <t>m u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vertAlign val="subscript"/>
        <sz val="11"/>
        <color theme="1"/>
        <rFont val="Calibri"/>
        <family val="2"/>
        <scheme val="minor"/>
      </rPr>
      <t>Tel08</t>
    </r>
  </si>
  <si>
    <r>
      <t>F</t>
    </r>
    <r>
      <rPr>
        <b/>
        <vertAlign val="subscript"/>
        <sz val="11"/>
        <color theme="1"/>
        <rFont val="Calibri"/>
        <family val="2"/>
        <scheme val="minor"/>
      </rPr>
      <t xml:space="preserve">y </t>
    </r>
    <r>
      <rPr>
        <b/>
        <sz val="11"/>
        <color theme="1"/>
        <rFont val="Calibri"/>
        <family val="2"/>
        <scheme val="minor"/>
      </rPr>
      <t>u</t>
    </r>
    <r>
      <rPr>
        <b/>
        <vertAlign val="subscript"/>
        <sz val="11"/>
        <color theme="1"/>
        <rFont val="Calibri"/>
        <family val="2"/>
        <scheme val="minor"/>
      </rPr>
      <t>Tel08</t>
    </r>
  </si>
  <si>
    <t xml:space="preserve">Solaio Piano Tipo               </t>
  </si>
  <si>
    <r>
      <t>[kN 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]</t>
    </r>
  </si>
  <si>
    <t xml:space="preserve">Solaio Piano Tipo              </t>
  </si>
  <si>
    <t>escluso incidenza tramezzi</t>
  </si>
  <si>
    <t xml:space="preserve">Solaio di copertura           </t>
  </si>
  <si>
    <t xml:space="preserve">Solaio del torrino scale    </t>
  </si>
  <si>
    <t>Sbalzo di copertura, cornicioni</t>
  </si>
  <si>
    <t>Scala</t>
  </si>
  <si>
    <r>
      <t>[kN m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]</t>
    </r>
  </si>
  <si>
    <t>Trave emergente 30x60</t>
  </si>
  <si>
    <t>Trave emergente 30x50</t>
  </si>
  <si>
    <t>Pilastri 30x70 1° ordine</t>
  </si>
  <si>
    <t>kN</t>
  </si>
  <si>
    <t xml:space="preserve">TRAVE EMERGENTE  30X50 </t>
  </si>
  <si>
    <r>
      <t>SOLAIO                        [kN/m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</si>
  <si>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r>
      <t>BALCONE                       [kN/m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</si>
  <si>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t>TAMPONATURA              [kN/m]</t>
  </si>
  <si>
    <t xml:space="preserve"> TRAVE A SPESSORE          [kN/m]</t>
  </si>
  <si>
    <t>TRAVE EMERGENTE       [kN/m]</t>
  </si>
  <si>
    <r>
      <t xml:space="preserve">      SCALA                        [kN/m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</si>
  <si>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t>Solaio di Copertura</t>
  </si>
  <si>
    <t>gd+qd</t>
  </si>
  <si>
    <t>gq</t>
  </si>
  <si>
    <r>
      <t>gk+</t>
    </r>
    <r>
      <rPr>
        <sz val="12"/>
        <color theme="1"/>
        <rFont val="Symbol"/>
        <family val="1"/>
        <charset val="2"/>
      </rPr>
      <t>y</t>
    </r>
    <r>
      <rPr>
        <sz val="12"/>
        <color theme="1"/>
        <rFont val="Calibri"/>
        <family val="2"/>
        <scheme val="minor"/>
      </rPr>
      <t>2qk</t>
    </r>
  </si>
  <si>
    <t>g1</t>
  </si>
  <si>
    <t>g2</t>
  </si>
  <si>
    <t>Piano Tipo</t>
  </si>
  <si>
    <t xml:space="preserve">peso solaio (dettratto) </t>
  </si>
  <si>
    <t>Peso Proprio solaio [kN/m]</t>
  </si>
  <si>
    <r>
      <t>SOLAIO                                             [kN/m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</si>
  <si>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r>
      <t>BALCONE                                         [kN/m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</si>
  <si>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t>TAMPONATURA                             [kN/m]</t>
  </si>
  <si>
    <t>TRAVE A SPESSORE                       [kN/m]</t>
  </si>
  <si>
    <t>TRAVE EMERGENTE  30x60         [kN/m]</t>
  </si>
  <si>
    <r>
      <t>SCALA                                               [kN/m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</si>
  <si>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t>TRAVE EMERGENTE  30x50         [kN/m]</t>
  </si>
  <si>
    <t xml:space="preserve">PILASTRO 16 30x70  </t>
  </si>
  <si>
    <t>1° ordine</t>
  </si>
  <si>
    <t xml:space="preserve"> ( 2°-3°-4° ordine)</t>
  </si>
  <si>
    <t>5°-6° ordine</t>
  </si>
  <si>
    <t>Pilastri 30x70 2°-3°-4° ordine</t>
  </si>
  <si>
    <t>Pilastri 30x70 5°-6° ordine</t>
  </si>
  <si>
    <t>Carichi sulle travi, valutati in maniera da massimizzarne il valore</t>
  </si>
  <si>
    <t>Campata</t>
  </si>
  <si>
    <t>solaio</t>
  </si>
  <si>
    <t>sbalzo</t>
  </si>
  <si>
    <t>scala</t>
  </si>
  <si>
    <t>trave emergente</t>
  </si>
  <si>
    <t>trave a spessore</t>
  </si>
  <si>
    <t>VI impalcato</t>
  </si>
  <si>
    <r>
      <t>G</t>
    </r>
    <r>
      <rPr>
        <vertAlign val="subscript"/>
        <sz val="10"/>
        <rFont val="Arial"/>
        <family val="2"/>
      </rPr>
      <t>2d</t>
    </r>
    <r>
      <rPr>
        <sz val="10"/>
        <rFont val="Arial"/>
        <family val="2"/>
      </rPr>
      <t>+</t>
    </r>
  </si>
  <si>
    <r>
      <t>G</t>
    </r>
    <r>
      <rPr>
        <vertAlign val="subscript"/>
        <sz val="10"/>
        <rFont val="Arial"/>
        <family val="2"/>
      </rPr>
      <t>1d</t>
    </r>
  </si>
  <si>
    <r>
      <t>Q</t>
    </r>
    <r>
      <rPr>
        <vertAlign val="subscript"/>
        <sz val="10"/>
        <rFont val="Times New Roman"/>
        <family val="1"/>
      </rPr>
      <t>d</t>
    </r>
  </si>
  <si>
    <r>
      <t>G</t>
    </r>
    <r>
      <rPr>
        <vertAlign val="subscript"/>
        <sz val="10"/>
        <rFont val="Arial"/>
        <family val="2"/>
      </rPr>
      <t>2k</t>
    </r>
    <r>
      <rPr>
        <sz val="10"/>
        <rFont val="Arial"/>
        <family val="2"/>
      </rPr>
      <t>+</t>
    </r>
  </si>
  <si>
    <r>
      <t>G</t>
    </r>
    <r>
      <rPr>
        <vertAlign val="subscript"/>
        <sz val="10"/>
        <rFont val="Arial"/>
        <family val="2"/>
      </rPr>
      <t>1k</t>
    </r>
  </si>
  <si>
    <r>
      <t>y</t>
    </r>
    <r>
      <rPr>
        <vertAlign val="subscript"/>
        <sz val="10"/>
        <rFont val="Times New Roman"/>
        <family val="1"/>
      </rPr>
      <t xml:space="preserve">2 </t>
    </r>
    <r>
      <rPr>
        <sz val="10"/>
        <rFont val="Times New Roman"/>
        <family val="1"/>
      </rPr>
      <t>Q</t>
    </r>
    <r>
      <rPr>
        <vertAlign val="subscript"/>
        <sz val="10"/>
        <rFont val="Times New Roman"/>
        <family val="1"/>
      </rPr>
      <t>k</t>
    </r>
  </si>
  <si>
    <r>
      <t>G</t>
    </r>
    <r>
      <rPr>
        <vertAlign val="subscript"/>
        <sz val="10"/>
        <rFont val="Arial"/>
        <family val="2"/>
      </rPr>
      <t>2k</t>
    </r>
  </si>
  <si>
    <r>
      <t>Q</t>
    </r>
    <r>
      <rPr>
        <vertAlign val="subscript"/>
        <sz val="10"/>
        <rFont val="Times New Roman"/>
        <family val="1"/>
      </rPr>
      <t>k</t>
    </r>
  </si>
  <si>
    <r>
      <rPr>
        <sz val="12"/>
        <color theme="1"/>
        <rFont val="Symbol"/>
        <family val="1"/>
        <charset val="2"/>
      </rPr>
      <t>y</t>
    </r>
    <r>
      <rPr>
        <vertAlign val="subscript"/>
        <sz val="12"/>
        <color theme="1"/>
        <rFont val="Calibri"/>
        <family val="2"/>
        <scheme val="minor"/>
      </rPr>
      <t>2</t>
    </r>
  </si>
  <si>
    <t>V impalcato</t>
  </si>
  <si>
    <r>
      <t>g</t>
    </r>
    <r>
      <rPr>
        <vertAlign val="subscript"/>
        <sz val="12"/>
        <color theme="1"/>
        <rFont val="Calibri"/>
        <family val="2"/>
        <scheme val="minor"/>
      </rPr>
      <t>1d</t>
    </r>
  </si>
  <si>
    <r>
      <t>g</t>
    </r>
    <r>
      <rPr>
        <vertAlign val="subscript"/>
        <sz val="12"/>
        <color theme="1"/>
        <rFont val="Calibri"/>
        <family val="2"/>
        <scheme val="minor"/>
      </rPr>
      <t>2d</t>
    </r>
    <r>
      <rPr>
        <sz val="12"/>
        <color theme="1"/>
        <rFont val="Calibri"/>
        <family val="2"/>
        <scheme val="minor"/>
      </rPr>
      <t>+q</t>
    </r>
    <r>
      <rPr>
        <vertAlign val="subscript"/>
        <sz val="12"/>
        <color theme="1"/>
        <rFont val="Calibri"/>
        <family val="2"/>
        <scheme val="minor"/>
      </rPr>
      <t>d</t>
    </r>
  </si>
  <si>
    <r>
      <t>g</t>
    </r>
    <r>
      <rPr>
        <vertAlign val="subscript"/>
        <sz val="12"/>
        <color theme="1"/>
        <rFont val="Calibri"/>
        <family val="2"/>
        <scheme val="minor"/>
      </rPr>
      <t>1k</t>
    </r>
  </si>
  <si>
    <r>
      <t>g</t>
    </r>
    <r>
      <rPr>
        <vertAlign val="subscript"/>
        <sz val="12"/>
        <rFont val="Calibri"/>
        <family val="2"/>
        <scheme val="minor"/>
      </rPr>
      <t>2k</t>
    </r>
    <r>
      <rPr>
        <sz val="12"/>
        <rFont val="Calibri"/>
        <family val="2"/>
        <scheme val="minor"/>
      </rPr>
      <t>+y</t>
    </r>
    <r>
      <rPr>
        <vertAlign val="sub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q</t>
    </r>
    <r>
      <rPr>
        <vertAlign val="subscript"/>
        <sz val="12"/>
        <rFont val="Calibri"/>
        <family val="2"/>
        <scheme val="minor"/>
      </rPr>
      <t>k</t>
    </r>
  </si>
  <si>
    <t>VI Impalcato - copertura</t>
  </si>
  <si>
    <t>cornicione</t>
  </si>
  <si>
    <t>travi 30x50</t>
  </si>
  <si>
    <t>tramezzi inf.</t>
  </si>
  <si>
    <t>tamponatura inf.</t>
  </si>
  <si>
    <t>tamponature sup.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</si>
  <si>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</si>
  <si>
    <t>PILASTRO 16 30x30</t>
  </si>
  <si>
    <t>Pilastri 30x30 1° ordine</t>
  </si>
  <si>
    <t>Pilastri 30x30 2°-3°-4° ordine</t>
  </si>
  <si>
    <t>Pilastri 30x30 5°-6° ordine</t>
  </si>
  <si>
    <t>pilastri sup-inf. 30x30</t>
  </si>
  <si>
    <t>pilastri inf. 30x70</t>
  </si>
  <si>
    <t>pilastri sup. 30x70</t>
  </si>
  <si>
    <t>travi 30x60</t>
  </si>
  <si>
    <t xml:space="preserve">Tramezzi </t>
  </si>
  <si>
    <t xml:space="preserve">PILASTRO 16 30x30  </t>
  </si>
  <si>
    <t>V Impalcato - copertura</t>
  </si>
  <si>
    <t>IV, III, II Impalcato - piano tipo</t>
  </si>
  <si>
    <t>Sbalzo piano tipo</t>
  </si>
  <si>
    <t>I Impalcato - piano tipo</t>
  </si>
  <si>
    <t>VIi Impalcato - torrino</t>
  </si>
  <si>
    <t>I impalcato</t>
  </si>
  <si>
    <t>IV-III-II impalcato</t>
  </si>
  <si>
    <t>2-3, 6-7</t>
  </si>
  <si>
    <t>3-4, 5-6</t>
  </si>
  <si>
    <t>1-2, 7-8</t>
  </si>
  <si>
    <t>9-10, 15-16</t>
  </si>
  <si>
    <t>17-18, 23-24</t>
  </si>
  <si>
    <t>18-19, 22-23</t>
  </si>
  <si>
    <t>19-20, 21-22</t>
  </si>
  <si>
    <t>11-12, 13-14</t>
  </si>
  <si>
    <t>12-13</t>
  </si>
  <si>
    <t>20-21</t>
  </si>
  <si>
    <t>25-26, 30-31</t>
  </si>
  <si>
    <t>26-27, 29-30</t>
  </si>
  <si>
    <t>27-28, 28-29</t>
  </si>
  <si>
    <t>1-9, 8-16</t>
  </si>
  <si>
    <t>9-17, 16-24</t>
  </si>
  <si>
    <t>17-25, 24-31</t>
  </si>
  <si>
    <t>2-10, 7-15</t>
  </si>
  <si>
    <t>10-18, 15-23</t>
  </si>
  <si>
    <t>18-26, 23-30</t>
  </si>
  <si>
    <t>Telaio 6-13</t>
  </si>
  <si>
    <t>11-19, 14-22</t>
  </si>
  <si>
    <t>3-11, 6-14</t>
  </si>
  <si>
    <t>4-12, 5-13</t>
  </si>
  <si>
    <t>12-20, 13-21</t>
  </si>
  <si>
    <t>Telaio 14-15-16</t>
  </si>
  <si>
    <t>gradino</t>
  </si>
  <si>
    <t>Alzata</t>
  </si>
  <si>
    <t>malta</t>
  </si>
  <si>
    <t>marmo</t>
  </si>
  <si>
    <t>Pedata</t>
  </si>
  <si>
    <t>s [m]</t>
  </si>
  <si>
    <t>Pianerottolo</t>
  </si>
  <si>
    <t>TOT</t>
  </si>
  <si>
    <t>RIEPILOGO</t>
  </si>
  <si>
    <t>gradini</t>
  </si>
  <si>
    <t>massetto</t>
  </si>
  <si>
    <t>2 a spessore</t>
  </si>
  <si>
    <t>10-11, 14-15</t>
  </si>
  <si>
    <t>Forze per analisi statica</t>
  </si>
  <si>
    <t xml:space="preserve">con periodo approssimato e masse impalcati calcolati </t>
  </si>
  <si>
    <t>VALORI MASSE APPROSSIMATE</t>
  </si>
  <si>
    <t>g1k</t>
  </si>
  <si>
    <r>
      <t>g2k+</t>
    </r>
    <r>
      <rPr>
        <sz val="8"/>
        <rFont val="Symbol"/>
        <family val="1"/>
        <charset val="2"/>
      </rPr>
      <t>y</t>
    </r>
    <r>
      <rPr>
        <sz val="8"/>
        <rFont val="Arial"/>
        <family val="2"/>
      </rPr>
      <t>2</t>
    </r>
    <r>
      <rPr>
        <sz val="8"/>
        <rFont val="Arial"/>
        <family val="2"/>
      </rPr>
      <t xml:space="preserve"> </t>
    </r>
    <r>
      <rPr>
        <sz val="8"/>
        <rFont val="Arial"/>
        <family val="2"/>
      </rPr>
      <t>qk</t>
    </r>
  </si>
  <si>
    <t>Tot. con sisma</t>
  </si>
  <si>
    <t>Tot.senza sisma</t>
  </si>
  <si>
    <t>VALORI MASSE CORRETTI</t>
  </si>
  <si>
    <t>Lx</t>
  </si>
  <si>
    <t>ex</t>
  </si>
  <si>
    <t>Ly</t>
  </si>
  <si>
    <t>ey</t>
  </si>
  <si>
    <t>Forza Fx [kN]</t>
  </si>
  <si>
    <t>Forza Fy [kN]</t>
  </si>
  <si>
    <t xml:space="preserve"> Fy ex [kN m]</t>
  </si>
  <si>
    <t xml:space="preserve"> Fx ey [kN m]</t>
  </si>
  <si>
    <t>statica</t>
  </si>
  <si>
    <t>modale</t>
  </si>
  <si>
    <t>tot</t>
  </si>
  <si>
    <t>5-14</t>
  </si>
  <si>
    <t>m. inerzia</t>
  </si>
  <si>
    <r>
      <rPr>
        <sz val="11"/>
        <color theme="1"/>
        <rFont val="Symbol"/>
        <family val="1"/>
        <charset val="2"/>
      </rPr>
      <t>r</t>
    </r>
    <r>
      <rPr>
        <sz val="11"/>
        <color theme="1"/>
        <rFont val="Calibri"/>
        <family val="2"/>
        <scheme val="minor"/>
      </rPr>
      <t>ky</t>
    </r>
  </si>
  <si>
    <r>
      <rPr>
        <sz val="11"/>
        <color theme="1"/>
        <rFont val="Symbol"/>
        <family val="1"/>
        <charset val="2"/>
      </rPr>
      <t>r</t>
    </r>
    <r>
      <rPr>
        <sz val="11"/>
        <color theme="1"/>
        <rFont val="Calibri"/>
        <family val="2"/>
        <scheme val="minor"/>
      </rPr>
      <t>kx</t>
    </r>
  </si>
  <si>
    <r>
      <rPr>
        <sz val="11"/>
        <color theme="1"/>
        <rFont val="Symbol"/>
        <family val="1"/>
        <charset val="2"/>
      </rPr>
      <t>r</t>
    </r>
    <r>
      <rPr>
        <sz val="11"/>
        <color theme="1"/>
        <rFont val="Calibri"/>
        <family val="2"/>
      </rPr>
      <t>kx</t>
    </r>
  </si>
  <si>
    <r>
      <rPr>
        <sz val="11"/>
        <color theme="1"/>
        <rFont val="Symbol"/>
        <family val="1"/>
        <charset val="2"/>
      </rPr>
      <t>r</t>
    </r>
    <r>
      <rPr>
        <sz val="11"/>
        <color theme="1"/>
        <rFont val="Calibri"/>
        <family val="2"/>
      </rPr>
      <t>ky</t>
    </r>
  </si>
  <si>
    <t>modale.</t>
  </si>
  <si>
    <t>TRAVE A SPESSORE (16-24) 70x22</t>
  </si>
  <si>
    <r>
      <t>[m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]</t>
    </r>
  </si>
  <si>
    <t>[kg]</t>
  </si>
  <si>
    <t xml:space="preserve">Masse </t>
  </si>
  <si>
    <t xml:space="preserve">Superficie </t>
  </si>
  <si>
    <t xml:space="preserve">Peso W </t>
  </si>
  <si>
    <r>
      <t xml:space="preserve"> [kN/m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]</t>
    </r>
  </si>
  <si>
    <t>W/A</t>
  </si>
  <si>
    <r>
      <t>x</t>
    </r>
    <r>
      <rPr>
        <b/>
        <vertAlign val="subscript"/>
        <sz val="11"/>
        <color theme="1"/>
        <rFont val="Calibri"/>
        <family val="2"/>
        <scheme val="minor"/>
      </rPr>
      <t>G</t>
    </r>
    <r>
      <rPr>
        <b/>
        <sz val="11"/>
        <color theme="1"/>
        <rFont val="Calibri"/>
        <family val="2"/>
        <scheme val="minor"/>
      </rPr>
      <t xml:space="preserve"> </t>
    </r>
  </si>
  <si>
    <t>[m]</t>
  </si>
  <si>
    <r>
      <t>y</t>
    </r>
    <r>
      <rPr>
        <b/>
        <vertAlign val="subscript"/>
        <sz val="11"/>
        <color theme="1"/>
        <rFont val="Calibri"/>
        <family val="2"/>
        <scheme val="minor"/>
      </rPr>
      <t>G</t>
    </r>
  </si>
  <si>
    <r>
      <t>r</t>
    </r>
    <r>
      <rPr>
        <b/>
        <vertAlign val="subscript"/>
        <sz val="11"/>
        <color theme="1"/>
        <rFont val="Calibri"/>
        <family val="2"/>
        <scheme val="minor"/>
      </rPr>
      <t xml:space="preserve">m </t>
    </r>
  </si>
  <si>
    <t>TABELLA RIEPILOGATIVA</t>
  </si>
  <si>
    <t xml:space="preserve">F </t>
  </si>
  <si>
    <t>F</t>
  </si>
  <si>
    <t>CARICO TRAVE (EMERGENTE) 106</t>
  </si>
  <si>
    <t>CARICO TRAVE (A SPESSORE) 106</t>
  </si>
  <si>
    <t>CARICO PILASTRO 9</t>
  </si>
  <si>
    <t>CARICO PILASTRO 1</t>
  </si>
  <si>
    <t>Trave Emergente ( 1 - 9) 30x60</t>
  </si>
  <si>
    <t>Trave Emergente ( 1-9) 30x60</t>
  </si>
  <si>
    <t>Travi a spessore 70x22</t>
  </si>
  <si>
    <t>travi a 70x22</t>
  </si>
  <si>
    <t>sbalzo/cornicione</t>
  </si>
  <si>
    <t>Area tot</t>
  </si>
  <si>
    <t>Peso Balconi</t>
  </si>
  <si>
    <t>TRAMEZZI</t>
  </si>
  <si>
    <t>tramezzi sup.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</si>
</sst>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0.00000"/>
  </numFmts>
  <fonts count="3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vertAlign val="subscript"/>
      <sz val="11"/>
      <color theme="1"/>
      <name val="Symbol"/>
      <family val="1"/>
      <charset val="2"/>
    </font>
    <font>
      <vertAlign val="super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bscript"/>
      <sz val="11"/>
      <color theme="1"/>
      <name val="Calibri"/>
      <family val="2"/>
      <scheme val="minor"/>
    </font>
    <font>
      <b/>
      <sz val="11"/>
      <color theme="1"/>
      <name val="Symbol"/>
      <family val="1"/>
      <charset val="2"/>
    </font>
    <font>
      <b/>
      <vertAlign val="subscript"/>
      <sz val="11"/>
      <color theme="1"/>
      <name val="Symbol"/>
      <family val="1"/>
      <charset val="2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Symbol"/>
      <family val="1"/>
      <charset val="2"/>
    </font>
    <font>
      <sz val="10"/>
      <name val="Symbol"/>
      <family val="1"/>
      <charset val="2"/>
    </font>
    <font>
      <b/>
      <sz val="10"/>
      <name val="Arial"/>
      <family val="2"/>
    </font>
    <font>
      <b/>
      <sz val="10"/>
      <color indexed="10"/>
      <name val="Arial"/>
      <family val="2"/>
    </font>
    <font>
      <vertAlign val="subscript"/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vertAlign val="subscript"/>
      <sz val="10"/>
      <name val="Times New Roman"/>
      <family val="1"/>
    </font>
    <font>
      <vertAlign val="subscript"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vertAlign val="subscript"/>
      <sz val="12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8"/>
      <name val="Arial"/>
      <family val="2"/>
    </font>
    <font>
      <sz val="8"/>
      <name val="Symbol"/>
      <family val="1"/>
      <charset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79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DE8D7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93">
    <xf numFmtId="0" fontId="0" fillId="0" borderId="0" xfId="0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8" xfId="0" applyBorder="1"/>
    <xf numFmtId="0" fontId="0" fillId="0" borderId="2" xfId="0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/>
    <xf numFmtId="2" fontId="0" fillId="3" borderId="4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0" fontId="0" fillId="0" borderId="1" xfId="0" applyFill="1" applyBorder="1" applyAlignment="1">
      <alignment horizontal="center"/>
    </xf>
    <xf numFmtId="0" fontId="7" fillId="3" borderId="2" xfId="0" applyFont="1" applyFill="1" applyBorder="1"/>
    <xf numFmtId="0" fontId="7" fillId="3" borderId="12" xfId="0" applyFont="1" applyFill="1" applyBorder="1"/>
    <xf numFmtId="0" fontId="0" fillId="3" borderId="2" xfId="0" applyFill="1" applyBorder="1"/>
    <xf numFmtId="0" fontId="0" fillId="3" borderId="4" xfId="0" applyFill="1" applyBorder="1"/>
    <xf numFmtId="0" fontId="0" fillId="0" borderId="9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2" fontId="0" fillId="3" borderId="17" xfId="0" applyNumberFormat="1" applyFill="1" applyBorder="1" applyAlignment="1">
      <alignment horizontal="center"/>
    </xf>
    <xf numFmtId="164" fontId="0" fillId="3" borderId="17" xfId="0" applyNumberFormat="1" applyFill="1" applyBorder="1" applyAlignment="1">
      <alignment horizontal="center"/>
    </xf>
    <xf numFmtId="2" fontId="0" fillId="4" borderId="18" xfId="0" applyNumberFormat="1" applyFill="1" applyBorder="1" applyAlignment="1">
      <alignment horizontal="center"/>
    </xf>
    <xf numFmtId="2" fontId="0" fillId="4" borderId="4" xfId="0" applyNumberFormat="1" applyFill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1" fontId="0" fillId="3" borderId="17" xfId="0" applyNumberFormat="1" applyFill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0" xfId="0" applyBorder="1"/>
    <xf numFmtId="0" fontId="0" fillId="0" borderId="21" xfId="0" applyBorder="1"/>
    <xf numFmtId="0" fontId="0" fillId="0" borderId="18" xfId="0" applyBorder="1"/>
    <xf numFmtId="0" fontId="0" fillId="0" borderId="23" xfId="0" applyBorder="1" applyAlignment="1">
      <alignment horizontal="center"/>
    </xf>
    <xf numFmtId="0" fontId="0" fillId="0" borderId="0" xfId="0" applyBorder="1" applyAlignment="1"/>
    <xf numFmtId="0" fontId="7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5" borderId="9" xfId="0" applyNumberFormat="1" applyFill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9" xfId="0" applyNumberFormat="1" applyFill="1" applyBorder="1" applyAlignment="1">
      <alignment horizontal="center"/>
    </xf>
    <xf numFmtId="2" fontId="0" fillId="5" borderId="10" xfId="0" applyNumberFormat="1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0" borderId="11" xfId="0" applyBorder="1"/>
    <xf numFmtId="0" fontId="0" fillId="0" borderId="26" xfId="0" applyBorder="1" applyAlignment="1">
      <alignment horizontal="center"/>
    </xf>
    <xf numFmtId="0" fontId="0" fillId="0" borderId="3" xfId="0" applyBorder="1"/>
    <xf numFmtId="0" fontId="0" fillId="0" borderId="13" xfId="0" applyBorder="1"/>
    <xf numFmtId="0" fontId="0" fillId="0" borderId="26" xfId="0" applyBorder="1"/>
    <xf numFmtId="0" fontId="0" fillId="3" borderId="10" xfId="0" applyFill="1" applyBorder="1"/>
    <xf numFmtId="0" fontId="0" fillId="3" borderId="18" xfId="0" applyFill="1" applyBorder="1"/>
    <xf numFmtId="0" fontId="0" fillId="0" borderId="9" xfId="0" applyBorder="1"/>
    <xf numFmtId="0" fontId="0" fillId="3" borderId="10" xfId="0" applyFill="1" applyBorder="1" applyAlignment="1">
      <alignment horizontal="center"/>
    </xf>
    <xf numFmtId="0" fontId="0" fillId="3" borderId="21" xfId="0" applyFill="1" applyBorder="1"/>
    <xf numFmtId="0" fontId="0" fillId="0" borderId="8" xfId="0" applyFill="1" applyBorder="1" applyAlignment="1">
      <alignment horizontal="center"/>
    </xf>
    <xf numFmtId="2" fontId="0" fillId="3" borderId="10" xfId="0" applyNumberFormat="1" applyFill="1" applyBorder="1" applyAlignment="1">
      <alignment horizontal="center"/>
    </xf>
    <xf numFmtId="2" fontId="0" fillId="0" borderId="17" xfId="0" applyNumberFormat="1" applyBorder="1" applyAlignment="1">
      <alignment horizontal="center"/>
    </xf>
    <xf numFmtId="0" fontId="0" fillId="5" borderId="21" xfId="0" applyFill="1" applyBorder="1" applyAlignment="1">
      <alignment horizontal="center"/>
    </xf>
    <xf numFmtId="0" fontId="0" fillId="5" borderId="9" xfId="0" applyFill="1" applyBorder="1"/>
    <xf numFmtId="0" fontId="0" fillId="5" borderId="9" xfId="0" applyFill="1" applyBorder="1" applyAlignment="1">
      <alignment horizontal="center"/>
    </xf>
    <xf numFmtId="0" fontId="0" fillId="5" borderId="13" xfId="0" applyFill="1" applyBorder="1"/>
    <xf numFmtId="0" fontId="0" fillId="5" borderId="13" xfId="0" applyFill="1" applyBorder="1" applyAlignment="1">
      <alignment horizontal="center"/>
    </xf>
    <xf numFmtId="2" fontId="0" fillId="0" borderId="26" xfId="0" applyNumberForma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" fontId="0" fillId="0" borderId="8" xfId="0" applyNumberFormat="1" applyBorder="1" applyAlignment="1">
      <alignment horizontal="center"/>
    </xf>
    <xf numFmtId="0" fontId="0" fillId="0" borderId="3" xfId="0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0" fillId="5" borderId="17" xfId="0" applyNumberForma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/>
    <xf numFmtId="1" fontId="0" fillId="0" borderId="0" xfId="0" applyNumberFormat="1" applyAlignment="1">
      <alignment horizontal="center"/>
    </xf>
    <xf numFmtId="0" fontId="1" fillId="3" borderId="2" xfId="0" applyFont="1" applyFill="1" applyBorder="1"/>
    <xf numFmtId="0" fontId="1" fillId="7" borderId="1" xfId="0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1" fillId="7" borderId="8" xfId="0" applyFont="1" applyFill="1" applyBorder="1" applyAlignment="1">
      <alignment horizontal="center"/>
    </xf>
    <xf numFmtId="0" fontId="1" fillId="8" borderId="8" xfId="0" applyFont="1" applyFill="1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0" fillId="7" borderId="10" xfId="0" applyFill="1" applyBorder="1" applyAlignment="1">
      <alignment horizontal="center"/>
    </xf>
    <xf numFmtId="0" fontId="0" fillId="8" borderId="10" xfId="0" applyFill="1" applyBorder="1"/>
    <xf numFmtId="0" fontId="0" fillId="8" borderId="10" xfId="0" applyFill="1" applyBorder="1" applyAlignment="1">
      <alignment horizontal="center"/>
    </xf>
    <xf numFmtId="2" fontId="0" fillId="3" borderId="20" xfId="0" applyNumberFormat="1" applyFill="1" applyBorder="1" applyAlignment="1">
      <alignment horizontal="center"/>
    </xf>
    <xf numFmtId="0" fontId="1" fillId="8" borderId="10" xfId="0" applyFont="1" applyFill="1" applyBorder="1" applyAlignment="1">
      <alignment horizontal="center"/>
    </xf>
    <xf numFmtId="0" fontId="0" fillId="8" borderId="0" xfId="0" applyFill="1" applyAlignment="1">
      <alignment horizontal="center"/>
    </xf>
    <xf numFmtId="0" fontId="1" fillId="8" borderId="14" xfId="0" applyFont="1" applyFill="1" applyBorder="1" applyAlignment="1">
      <alignment horizontal="center"/>
    </xf>
    <xf numFmtId="0" fontId="0" fillId="8" borderId="14" xfId="0" applyFill="1" applyBorder="1" applyAlignment="1">
      <alignment horizontal="center"/>
    </xf>
    <xf numFmtId="0" fontId="0" fillId="8" borderId="9" xfId="0" applyFill="1" applyBorder="1" applyAlignment="1">
      <alignment horizontal="center"/>
    </xf>
    <xf numFmtId="0" fontId="1" fillId="8" borderId="9" xfId="0" applyFont="1" applyFill="1" applyBorder="1" applyAlignment="1">
      <alignment horizontal="center"/>
    </xf>
    <xf numFmtId="0" fontId="1" fillId="8" borderId="2" xfId="0" applyFont="1" applyFill="1" applyBorder="1"/>
    <xf numFmtId="0" fontId="0" fillId="8" borderId="3" xfId="0" applyFill="1" applyBorder="1"/>
    <xf numFmtId="0" fontId="0" fillId="8" borderId="1" xfId="0" applyFill="1" applyBorder="1"/>
    <xf numFmtId="0" fontId="1" fillId="8" borderId="2" xfId="0" applyFont="1" applyFill="1" applyBorder="1" applyAlignment="1">
      <alignment horizontal="center"/>
    </xf>
    <xf numFmtId="0" fontId="11" fillId="8" borderId="1" xfId="0" applyFont="1" applyFill="1" applyBorder="1" applyAlignment="1">
      <alignment horizontal="center"/>
    </xf>
    <xf numFmtId="0" fontId="1" fillId="8" borderId="21" xfId="0" applyFont="1" applyFill="1" applyBorder="1" applyAlignment="1">
      <alignment horizontal="center"/>
    </xf>
    <xf numFmtId="0" fontId="0" fillId="7" borderId="21" xfId="0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0" fontId="0" fillId="7" borderId="11" xfId="0" applyFill="1" applyBorder="1" applyAlignment="1">
      <alignment horizontal="center"/>
    </xf>
    <xf numFmtId="0" fontId="13" fillId="3" borderId="2" xfId="0" applyFont="1" applyFill="1" applyBorder="1" applyAlignment="1">
      <alignment horizontal="center"/>
    </xf>
    <xf numFmtId="2" fontId="0" fillId="11" borderId="8" xfId="0" applyNumberFormat="1" applyFill="1" applyBorder="1" applyAlignment="1">
      <alignment horizontal="center"/>
    </xf>
    <xf numFmtId="2" fontId="0" fillId="11" borderId="9" xfId="0" applyNumberFormat="1" applyFill="1" applyBorder="1" applyAlignment="1">
      <alignment horizontal="center"/>
    </xf>
    <xf numFmtId="0" fontId="11" fillId="8" borderId="10" xfId="0" applyFont="1" applyFill="1" applyBorder="1" applyAlignment="1">
      <alignment horizontal="center"/>
    </xf>
    <xf numFmtId="2" fontId="0" fillId="10" borderId="17" xfId="0" applyNumberFormat="1" applyFill="1" applyBorder="1" applyAlignment="1">
      <alignment horizontal="center"/>
    </xf>
    <xf numFmtId="0" fontId="0" fillId="8" borderId="17" xfId="0" applyFill="1" applyBorder="1" applyAlignment="1">
      <alignment horizontal="center"/>
    </xf>
    <xf numFmtId="0" fontId="0" fillId="8" borderId="20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1" fontId="0" fillId="10" borderId="17" xfId="0" applyNumberForma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3" borderId="0" xfId="0" applyFill="1"/>
    <xf numFmtId="49" fontId="0" fillId="0" borderId="0" xfId="0" applyNumberFormat="1" applyAlignment="1">
      <alignment horizontal="center"/>
    </xf>
    <xf numFmtId="0" fontId="1" fillId="3" borderId="0" xfId="0" applyFont="1" applyFill="1"/>
    <xf numFmtId="0" fontId="0" fillId="0" borderId="21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11" borderId="0" xfId="0" applyFill="1" applyAlignment="1">
      <alignment horizontal="center"/>
    </xf>
    <xf numFmtId="0" fontId="0" fillId="12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49" fontId="0" fillId="0" borderId="0" xfId="0" applyNumberFormat="1" applyFill="1" applyAlignment="1">
      <alignment horizontal="center"/>
    </xf>
    <xf numFmtId="0" fontId="1" fillId="8" borderId="0" xfId="0" applyFont="1" applyFill="1"/>
    <xf numFmtId="0" fontId="0" fillId="8" borderId="0" xfId="0" applyFill="1"/>
    <xf numFmtId="0" fontId="0" fillId="2" borderId="0" xfId="0" applyFill="1"/>
    <xf numFmtId="0" fontId="15" fillId="2" borderId="0" xfId="0" applyFont="1" applyFill="1"/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" fontId="0" fillId="0" borderId="0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/>
    <xf numFmtId="0" fontId="13" fillId="0" borderId="0" xfId="0" applyFont="1"/>
    <xf numFmtId="2" fontId="0" fillId="13" borderId="1" xfId="0" applyNumberFormat="1" applyFill="1" applyBorder="1" applyAlignment="1">
      <alignment horizontal="center"/>
    </xf>
    <xf numFmtId="2" fontId="0" fillId="14" borderId="1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Alignment="1">
      <alignment horizontal="center"/>
    </xf>
    <xf numFmtId="0" fontId="0" fillId="0" borderId="8" xfId="0" applyBorder="1" applyAlignment="1">
      <alignment horizontal="center"/>
    </xf>
    <xf numFmtId="1" fontId="0" fillId="0" borderId="10" xfId="0" applyNumberFormat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16" fillId="8" borderId="1" xfId="0" applyFont="1" applyFill="1" applyBorder="1" applyAlignment="1">
      <alignment horizontal="center"/>
    </xf>
    <xf numFmtId="0" fontId="16" fillId="8" borderId="2" xfId="0" applyFont="1" applyFill="1" applyBorder="1" applyAlignment="1">
      <alignment horizontal="center"/>
    </xf>
    <xf numFmtId="2" fontId="0" fillId="14" borderId="17" xfId="0" applyNumberFormat="1" applyFill="1" applyBorder="1" applyAlignment="1">
      <alignment horizontal="center"/>
    </xf>
    <xf numFmtId="2" fontId="0" fillId="13" borderId="17" xfId="0" applyNumberFormat="1" applyFill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2" fontId="0" fillId="0" borderId="28" xfId="0" applyNumberFormat="1" applyBorder="1" applyAlignment="1">
      <alignment horizontal="center"/>
    </xf>
    <xf numFmtId="0" fontId="3" fillId="8" borderId="1" xfId="0" applyFont="1" applyFill="1" applyBorder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0" fontId="1" fillId="0" borderId="0" xfId="0" applyFont="1" applyFill="1" applyBorder="1"/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8" borderId="20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3" fillId="3" borderId="2" xfId="0" applyFont="1" applyFill="1" applyBorder="1" applyAlignment="1">
      <alignment horizontal="center"/>
    </xf>
    <xf numFmtId="0" fontId="1" fillId="8" borderId="21" xfId="0" applyFont="1" applyFill="1" applyBorder="1" applyAlignment="1">
      <alignment horizontal="center"/>
    </xf>
    <xf numFmtId="0" fontId="1" fillId="8" borderId="10" xfId="0" applyFont="1" applyFill="1" applyBorder="1" applyAlignment="1">
      <alignment horizontal="center"/>
    </xf>
    <xf numFmtId="0" fontId="1" fillId="8" borderId="0" xfId="0" applyFont="1" applyFill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1" fontId="0" fillId="0" borderId="13" xfId="0" applyNumberFormat="1" applyBorder="1" applyAlignment="1">
      <alignment horizontal="center"/>
    </xf>
    <xf numFmtId="2" fontId="0" fillId="0" borderId="18" xfId="0" applyNumberFormat="1" applyBorder="1" applyAlignment="1">
      <alignment horizontal="center"/>
    </xf>
    <xf numFmtId="0" fontId="0" fillId="3" borderId="26" xfId="0" applyFill="1" applyBorder="1"/>
    <xf numFmtId="0" fontId="1" fillId="8" borderId="11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2" fontId="0" fillId="6" borderId="17" xfId="0" applyNumberFormat="1" applyFill="1" applyBorder="1" applyAlignment="1">
      <alignment horizontal="center"/>
    </xf>
    <xf numFmtId="0" fontId="13" fillId="3" borderId="10" xfId="0" applyFont="1" applyFill="1" applyBorder="1" applyAlignment="1">
      <alignment horizontal="center"/>
    </xf>
    <xf numFmtId="0" fontId="13" fillId="0" borderId="17" xfId="0" applyFont="1" applyBorder="1"/>
    <xf numFmtId="4" fontId="0" fillId="0" borderId="8" xfId="0" applyNumberFormat="1" applyBorder="1" applyAlignment="1">
      <alignment horizontal="center"/>
    </xf>
    <xf numFmtId="0" fontId="1" fillId="8" borderId="18" xfId="0" applyFont="1" applyFill="1" applyBorder="1" applyAlignment="1">
      <alignment horizontal="center"/>
    </xf>
    <xf numFmtId="0" fontId="1" fillId="8" borderId="10" xfId="0" applyFont="1" applyFill="1" applyBorder="1" applyAlignment="1">
      <alignment horizontal="center"/>
    </xf>
    <xf numFmtId="0" fontId="0" fillId="0" borderId="13" xfId="0" applyBorder="1" applyAlignment="1"/>
    <xf numFmtId="0" fontId="7" fillId="3" borderId="1" xfId="0" applyFont="1" applyFill="1" applyBorder="1" applyAlignment="1">
      <alignment horizontal="center"/>
    </xf>
    <xf numFmtId="0" fontId="0" fillId="15" borderId="1" xfId="0" applyFill="1" applyBorder="1" applyAlignment="1">
      <alignment horizontal="center"/>
    </xf>
    <xf numFmtId="0" fontId="0" fillId="8" borderId="8" xfId="0" applyFill="1" applyBorder="1" applyAlignment="1">
      <alignment horizontal="center"/>
    </xf>
    <xf numFmtId="0" fontId="1" fillId="8" borderId="12" xfId="0" applyFont="1" applyFill="1" applyBorder="1" applyAlignment="1">
      <alignment horizontal="center"/>
    </xf>
    <xf numFmtId="0" fontId="1" fillId="8" borderId="24" xfId="0" applyFont="1" applyFill="1" applyBorder="1" applyAlignment="1">
      <alignment horizontal="center"/>
    </xf>
    <xf numFmtId="0" fontId="1" fillId="8" borderId="26" xfId="0" applyFont="1" applyFill="1" applyBorder="1" applyAlignment="1">
      <alignment horizontal="center"/>
    </xf>
    <xf numFmtId="0" fontId="14" fillId="0" borderId="0" xfId="0" applyFont="1"/>
    <xf numFmtId="2" fontId="0" fillId="0" borderId="8" xfId="0" applyNumberFormat="1" applyFill="1" applyBorder="1" applyAlignment="1">
      <alignment horizontal="center"/>
    </xf>
    <xf numFmtId="0" fontId="0" fillId="0" borderId="21" xfId="0" applyFill="1" applyBorder="1"/>
    <xf numFmtId="0" fontId="0" fillId="0" borderId="2" xfId="0" applyFill="1" applyBorder="1"/>
    <xf numFmtId="0" fontId="0" fillId="4" borderId="13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2" fontId="0" fillId="0" borderId="10" xfId="0" applyNumberFormat="1" applyFill="1" applyBorder="1" applyAlignment="1">
      <alignment horizontal="center"/>
    </xf>
    <xf numFmtId="0" fontId="0" fillId="0" borderId="11" xfId="0" applyFill="1" applyBorder="1" applyAlignment="1"/>
    <xf numFmtId="0" fontId="0" fillId="0" borderId="4" xfId="0" applyFill="1" applyBorder="1"/>
    <xf numFmtId="0" fontId="0" fillId="0" borderId="0" xfId="0" applyBorder="1" applyAlignment="1">
      <alignment horizontal="center"/>
    </xf>
    <xf numFmtId="0" fontId="0" fillId="7" borderId="1" xfId="0" applyFill="1" applyBorder="1"/>
    <xf numFmtId="0" fontId="0" fillId="15" borderId="1" xfId="0" applyFill="1" applyBorder="1"/>
    <xf numFmtId="0" fontId="0" fillId="15" borderId="8" xfId="0" applyFill="1" applyBorder="1" applyAlignment="1">
      <alignment horizontal="center"/>
    </xf>
    <xf numFmtId="0" fontId="1" fillId="15" borderId="1" xfId="0" applyFont="1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1" fillId="7" borderId="17" xfId="0" applyFont="1" applyFill="1" applyBorder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0" fillId="7" borderId="4" xfId="0" applyFill="1" applyBorder="1"/>
    <xf numFmtId="0" fontId="0" fillId="7" borderId="2" xfId="0" applyFill="1" applyBorder="1"/>
    <xf numFmtId="0" fontId="0" fillId="7" borderId="4" xfId="0" applyFill="1" applyBorder="1" applyAlignment="1">
      <alignment horizontal="center"/>
    </xf>
    <xf numFmtId="0" fontId="1" fillId="7" borderId="10" xfId="0" applyFont="1" applyFill="1" applyBorder="1" applyAlignment="1">
      <alignment horizontal="center"/>
    </xf>
    <xf numFmtId="0" fontId="0" fillId="7" borderId="8" xfId="0" applyFill="1" applyBorder="1" applyAlignment="1"/>
    <xf numFmtId="0" fontId="0" fillId="7" borderId="10" xfId="0" applyFill="1" applyBorder="1" applyAlignment="1"/>
    <xf numFmtId="0" fontId="0" fillId="7" borderId="3" xfId="0" applyFill="1" applyBorder="1" applyAlignment="1">
      <alignment horizontal="center"/>
    </xf>
    <xf numFmtId="0" fontId="0" fillId="7" borderId="1" xfId="0" applyFill="1" applyBorder="1" applyAlignment="1"/>
    <xf numFmtId="0" fontId="0" fillId="7" borderId="2" xfId="0" applyFill="1" applyBorder="1" applyAlignment="1"/>
    <xf numFmtId="0" fontId="1" fillId="0" borderId="0" xfId="0" applyFont="1" applyAlignment="1">
      <alignment horizontal="left"/>
    </xf>
    <xf numFmtId="0" fontId="0" fillId="7" borderId="10" xfId="0" applyFill="1" applyBorder="1"/>
    <xf numFmtId="0" fontId="0" fillId="7" borderId="8" xfId="0" applyFill="1" applyBorder="1"/>
    <xf numFmtId="0" fontId="3" fillId="7" borderId="18" xfId="0" applyFont="1" applyFill="1" applyBorder="1" applyAlignment="1">
      <alignment horizontal="center"/>
    </xf>
    <xf numFmtId="0" fontId="3" fillId="7" borderId="10" xfId="0" applyFont="1" applyFill="1" applyBorder="1" applyAlignment="1">
      <alignment horizontal="center"/>
    </xf>
    <xf numFmtId="0" fontId="0" fillId="8" borderId="4" xfId="0" applyFill="1" applyBorder="1"/>
    <xf numFmtId="0" fontId="1" fillId="8" borderId="19" xfId="0" applyFont="1" applyFill="1" applyBorder="1"/>
    <xf numFmtId="0" fontId="0" fillId="8" borderId="22" xfId="0" applyFill="1" applyBorder="1"/>
    <xf numFmtId="0" fontId="1" fillId="8" borderId="22" xfId="0" applyFont="1" applyFill="1" applyBorder="1"/>
    <xf numFmtId="0" fontId="0" fillId="8" borderId="25" xfId="0" applyFill="1" applyBorder="1"/>
    <xf numFmtId="0" fontId="0" fillId="8" borderId="20" xfId="0" applyFill="1" applyBorder="1"/>
    <xf numFmtId="0" fontId="0" fillId="7" borderId="21" xfId="0" applyFill="1" applyBorder="1"/>
    <xf numFmtId="0" fontId="0" fillId="7" borderId="18" xfId="0" applyFill="1" applyBorder="1"/>
    <xf numFmtId="0" fontId="0" fillId="7" borderId="1" xfId="0" applyFill="1" applyBorder="1" applyAlignment="1">
      <alignment horizontal="left"/>
    </xf>
    <xf numFmtId="0" fontId="0" fillId="7" borderId="21" xfId="0" applyFill="1" applyBorder="1" applyAlignment="1">
      <alignment horizontal="left"/>
    </xf>
    <xf numFmtId="0" fontId="0" fillId="15" borderId="13" xfId="0" applyFill="1" applyBorder="1"/>
    <xf numFmtId="0" fontId="3" fillId="15" borderId="9" xfId="0" applyFont="1" applyFill="1" applyBorder="1" applyAlignment="1">
      <alignment horizontal="center"/>
    </xf>
    <xf numFmtId="0" fontId="3" fillId="15" borderId="1" xfId="0" applyFont="1" applyFill="1" applyBorder="1" applyAlignment="1">
      <alignment horizontal="center"/>
    </xf>
    <xf numFmtId="0" fontId="1" fillId="15" borderId="2" xfId="0" applyFont="1" applyFill="1" applyBorder="1" applyAlignment="1">
      <alignment horizontal="center"/>
    </xf>
    <xf numFmtId="0" fontId="0" fillId="15" borderId="2" xfId="0" applyFill="1" applyBorder="1" applyAlignment="1">
      <alignment horizontal="center"/>
    </xf>
    <xf numFmtId="0" fontId="0" fillId="15" borderId="2" xfId="0" applyFill="1" applyBorder="1"/>
    <xf numFmtId="0" fontId="0" fillId="15" borderId="11" xfId="0" applyFill="1" applyBorder="1"/>
    <xf numFmtId="0" fontId="0" fillId="15" borderId="9" xfId="0" applyFill="1" applyBorder="1"/>
    <xf numFmtId="0" fontId="0" fillId="15" borderId="13" xfId="0" applyFill="1" applyBorder="1" applyAlignment="1">
      <alignment horizontal="center"/>
    </xf>
    <xf numFmtId="0" fontId="3" fillId="15" borderId="14" xfId="0" applyFont="1" applyFill="1" applyBorder="1" applyAlignment="1">
      <alignment horizontal="center"/>
    </xf>
    <xf numFmtId="0" fontId="0" fillId="15" borderId="3" xfId="0" applyFill="1" applyBorder="1" applyAlignment="1">
      <alignment horizontal="center"/>
    </xf>
    <xf numFmtId="0" fontId="1" fillId="15" borderId="17" xfId="0" applyFont="1" applyFill="1" applyBorder="1" applyAlignment="1">
      <alignment horizontal="center"/>
    </xf>
    <xf numFmtId="0" fontId="0" fillId="15" borderId="4" xfId="0" applyFill="1" applyBorder="1"/>
    <xf numFmtId="0" fontId="0" fillId="7" borderId="17" xfId="0" applyFill="1" applyBorder="1" applyAlignment="1">
      <alignment horizontal="left"/>
    </xf>
    <xf numFmtId="0" fontId="0" fillId="7" borderId="2" xfId="0" applyFill="1" applyBorder="1" applyAlignment="1">
      <alignment horizontal="left"/>
    </xf>
    <xf numFmtId="0" fontId="0" fillId="3" borderId="9" xfId="0" applyFill="1" applyBorder="1" applyAlignment="1">
      <alignment horizontal="center"/>
    </xf>
    <xf numFmtId="0" fontId="0" fillId="7" borderId="17" xfId="0" applyFill="1" applyBorder="1" applyAlignment="1">
      <alignment horizontal="center"/>
    </xf>
    <xf numFmtId="0" fontId="0" fillId="3" borderId="28" xfId="0" applyFill="1" applyBorder="1" applyAlignment="1">
      <alignment horizontal="center"/>
    </xf>
    <xf numFmtId="2" fontId="0" fillId="0" borderId="13" xfId="0" applyNumberFormat="1" applyFill="1" applyBorder="1" applyAlignment="1">
      <alignment horizontal="center"/>
    </xf>
    <xf numFmtId="2" fontId="0" fillId="0" borderId="14" xfId="0" applyNumberForma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2" fontId="0" fillId="3" borderId="28" xfId="0" applyNumberFormat="1" applyFill="1" applyBorder="1" applyAlignment="1">
      <alignment horizontal="center"/>
    </xf>
    <xf numFmtId="0" fontId="0" fillId="0" borderId="11" xfId="0" applyFill="1" applyBorder="1"/>
    <xf numFmtId="0" fontId="20" fillId="0" borderId="0" xfId="0" applyFont="1" applyAlignment="1">
      <alignment horizontal="left"/>
    </xf>
    <xf numFmtId="0" fontId="21" fillId="0" borderId="0" xfId="0" applyFont="1"/>
    <xf numFmtId="0" fontId="20" fillId="0" borderId="0" xfId="0" applyFont="1"/>
    <xf numFmtId="0" fontId="24" fillId="0" borderId="18" xfId="0" applyFont="1" applyFill="1" applyBorder="1" applyAlignment="1">
      <alignment horizontal="center"/>
    </xf>
    <xf numFmtId="0" fontId="0" fillId="0" borderId="24" xfId="0" applyFill="1" applyBorder="1" applyAlignment="1">
      <alignment horizontal="right"/>
    </xf>
    <xf numFmtId="0" fontId="0" fillId="0" borderId="26" xfId="0" applyFill="1" applyBorder="1" applyAlignment="1">
      <alignment horizontal="right"/>
    </xf>
    <xf numFmtId="0" fontId="0" fillId="0" borderId="3" xfId="0" applyFill="1" applyBorder="1" applyAlignment="1">
      <alignment horizontal="right"/>
    </xf>
    <xf numFmtId="0" fontId="24" fillId="0" borderId="0" xfId="0" applyFont="1" applyFill="1" applyBorder="1" applyAlignment="1">
      <alignment horizontal="center"/>
    </xf>
    <xf numFmtId="0" fontId="0" fillId="0" borderId="9" xfId="0" applyFill="1" applyBorder="1"/>
    <xf numFmtId="0" fontId="17" fillId="0" borderId="12" xfId="0" applyFont="1" applyFill="1" applyBorder="1" applyAlignment="1">
      <alignment horizontal="center"/>
    </xf>
    <xf numFmtId="2" fontId="0" fillId="0" borderId="11" xfId="0" applyNumberFormat="1" applyFill="1" applyBorder="1" applyAlignment="1">
      <alignment horizontal="center"/>
    </xf>
    <xf numFmtId="0" fontId="0" fillId="0" borderId="13" xfId="0" applyFill="1" applyBorder="1"/>
    <xf numFmtId="0" fontId="17" fillId="0" borderId="8" xfId="0" applyFont="1" applyFill="1" applyBorder="1" applyAlignment="1">
      <alignment horizontal="center"/>
    </xf>
    <xf numFmtId="0" fontId="19" fillId="0" borderId="14" xfId="0" applyFont="1" applyFill="1" applyBorder="1" applyAlignment="1">
      <alignment horizontal="center"/>
    </xf>
    <xf numFmtId="2" fontId="0" fillId="0" borderId="24" xfId="0" applyNumberFormat="1" applyBorder="1" applyAlignment="1">
      <alignment horizontal="center"/>
    </xf>
    <xf numFmtId="0" fontId="17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1" fillId="8" borderId="10" xfId="0" applyFont="1" applyFill="1" applyBorder="1" applyAlignment="1">
      <alignment horizontal="center"/>
    </xf>
    <xf numFmtId="0" fontId="29" fillId="0" borderId="0" xfId="0" applyFont="1"/>
    <xf numFmtId="0" fontId="0" fillId="0" borderId="0" xfId="0" applyFill="1" applyBorder="1" applyAlignment="1">
      <alignment horizontal="left"/>
    </xf>
    <xf numFmtId="0" fontId="1" fillId="0" borderId="0" xfId="0" applyFont="1" applyFill="1" applyBorder="1" applyAlignment="1"/>
    <xf numFmtId="2" fontId="0" fillId="0" borderId="21" xfId="0" applyNumberFormat="1" applyFill="1" applyBorder="1" applyAlignment="1">
      <alignment horizontal="center"/>
    </xf>
    <xf numFmtId="0" fontId="0" fillId="0" borderId="10" xfId="0" applyFill="1" applyBorder="1"/>
    <xf numFmtId="164" fontId="0" fillId="0" borderId="9" xfId="0" applyNumberFormat="1" applyFill="1" applyBorder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4" xfId="0" applyBorder="1"/>
    <xf numFmtId="2" fontId="0" fillId="0" borderId="24" xfId="0" applyNumberFormat="1" applyBorder="1"/>
    <xf numFmtId="0" fontId="0" fillId="0" borderId="14" xfId="0" applyBorder="1"/>
    <xf numFmtId="0" fontId="0" fillId="0" borderId="8" xfId="0" applyFill="1" applyBorder="1"/>
    <xf numFmtId="164" fontId="0" fillId="0" borderId="8" xfId="0" applyNumberFormat="1" applyFill="1" applyBorder="1" applyAlignment="1">
      <alignment horizontal="center"/>
    </xf>
    <xf numFmtId="0" fontId="0" fillId="0" borderId="26" xfId="0" applyFill="1" applyBorder="1"/>
    <xf numFmtId="0" fontId="20" fillId="0" borderId="14" xfId="0" applyFont="1" applyBorder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29" fillId="0" borderId="0" xfId="0" applyFont="1" applyFill="1" applyBorder="1"/>
    <xf numFmtId="2" fontId="0" fillId="0" borderId="0" xfId="0" applyNumberFormat="1" applyFill="1" applyBorder="1"/>
    <xf numFmtId="2" fontId="0" fillId="0" borderId="0" xfId="0" applyNumberFormat="1" applyBorder="1" applyAlignment="1">
      <alignment horizontal="center"/>
    </xf>
    <xf numFmtId="2" fontId="0" fillId="0" borderId="0" xfId="0" applyNumberFormat="1" applyBorder="1" applyAlignment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/>
    <xf numFmtId="0" fontId="0" fillId="0" borderId="0" xfId="0" applyAlignment="1"/>
    <xf numFmtId="0" fontId="0" fillId="0" borderId="0" xfId="0"/>
    <xf numFmtId="0" fontId="20" fillId="3" borderId="14" xfId="0" applyFont="1" applyFill="1" applyBorder="1"/>
    <xf numFmtId="0" fontId="21" fillId="0" borderId="0" xfId="0" applyFont="1" applyBorder="1"/>
    <xf numFmtId="0" fontId="0" fillId="15" borderId="11" xfId="0" applyFill="1" applyBorder="1" applyAlignment="1">
      <alignment horizontal="center"/>
    </xf>
    <xf numFmtId="0" fontId="0" fillId="15" borderId="9" xfId="0" applyFill="1" applyBorder="1" applyAlignment="1">
      <alignment horizontal="center"/>
    </xf>
    <xf numFmtId="0" fontId="0" fillId="15" borderId="12" xfId="0" applyFill="1" applyBorder="1" applyAlignment="1">
      <alignment horizontal="center"/>
    </xf>
    <xf numFmtId="0" fontId="0" fillId="0" borderId="29" xfId="0" applyBorder="1" applyAlignment="1">
      <alignment horizontal="center"/>
    </xf>
    <xf numFmtId="0" fontId="1" fillId="15" borderId="15" xfId="0" applyFont="1" applyFill="1" applyBorder="1" applyAlignment="1">
      <alignment horizontal="center"/>
    </xf>
    <xf numFmtId="0" fontId="0" fillId="15" borderId="4" xfId="0" applyFill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14" xfId="0" applyNumberFormat="1" applyBorder="1" applyAlignment="1">
      <alignment horizontal="center"/>
    </xf>
    <xf numFmtId="165" fontId="0" fillId="3" borderId="4" xfId="0" applyNumberFormat="1" applyFill="1" applyBorder="1" applyAlignment="1">
      <alignment horizontal="center"/>
    </xf>
    <xf numFmtId="0" fontId="1" fillId="0" borderId="0" xfId="0" applyFont="1" applyAlignment="1">
      <alignment horizontal="right"/>
    </xf>
    <xf numFmtId="165" fontId="0" fillId="0" borderId="17" xfId="0" applyNumberFormat="1" applyBorder="1" applyAlignment="1">
      <alignment horizontal="center"/>
    </xf>
    <xf numFmtId="0" fontId="20" fillId="0" borderId="0" xfId="0" applyFont="1" applyBorder="1"/>
    <xf numFmtId="0" fontId="0" fillId="0" borderId="29" xfId="0" applyFont="1" applyFill="1" applyBorder="1" applyAlignment="1">
      <alignment horizontal="center"/>
    </xf>
    <xf numFmtId="2" fontId="0" fillId="3" borderId="12" xfId="0" applyNumberFormat="1" applyFill="1" applyBorder="1" applyAlignment="1">
      <alignment horizontal="center"/>
    </xf>
    <xf numFmtId="0" fontId="1" fillId="7" borderId="28" xfId="0" applyFon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49" fontId="20" fillId="0" borderId="14" xfId="0" applyNumberFormat="1" applyFont="1" applyFill="1" applyBorder="1"/>
    <xf numFmtId="0" fontId="20" fillId="0" borderId="14" xfId="0" applyFont="1" applyFill="1" applyBorder="1"/>
    <xf numFmtId="2" fontId="0" fillId="3" borderId="0" xfId="0" applyNumberFormat="1" applyFill="1" applyAlignment="1">
      <alignment horizontal="center"/>
    </xf>
    <xf numFmtId="0" fontId="0" fillId="3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20" fillId="6" borderId="14" xfId="0" applyFont="1" applyFill="1" applyBorder="1"/>
    <xf numFmtId="2" fontId="0" fillId="6" borderId="0" xfId="0" applyNumberFormat="1" applyFill="1" applyAlignment="1">
      <alignment horizontal="center"/>
    </xf>
    <xf numFmtId="0" fontId="0" fillId="6" borderId="0" xfId="0" applyFill="1" applyAlignment="1">
      <alignment horizontal="center"/>
    </xf>
    <xf numFmtId="0" fontId="0" fillId="0" borderId="0" xfId="0" applyAlignment="1">
      <alignment horizontal="left"/>
    </xf>
    <xf numFmtId="0" fontId="30" fillId="0" borderId="0" xfId="0" applyFont="1"/>
    <xf numFmtId="2" fontId="0" fillId="0" borderId="0" xfId="0" applyNumberFormat="1" applyAlignment="1">
      <alignment horizontal="center"/>
    </xf>
    <xf numFmtId="0" fontId="0" fillId="0" borderId="0" xfId="0"/>
    <xf numFmtId="0" fontId="0" fillId="0" borderId="11" xfId="0" applyBorder="1" applyAlignment="1">
      <alignment horizontal="center"/>
    </xf>
    <xf numFmtId="0" fontId="1" fillId="8" borderId="10" xfId="0" applyFont="1" applyFill="1" applyBorder="1" applyAlignment="1">
      <alignment horizontal="center"/>
    </xf>
    <xf numFmtId="0" fontId="1" fillId="8" borderId="21" xfId="0" applyFont="1" applyFill="1" applyBorder="1" applyAlignment="1">
      <alignment horizontal="center"/>
    </xf>
    <xf numFmtId="0" fontId="1" fillId="8" borderId="10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7" borderId="9" xfId="0" applyFill="1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left"/>
    </xf>
    <xf numFmtId="0" fontId="0" fillId="0" borderId="18" xfId="0" applyBorder="1" applyAlignment="1">
      <alignment horizontal="left"/>
    </xf>
    <xf numFmtId="0" fontId="1" fillId="8" borderId="10" xfId="0" applyFont="1" applyFill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/>
    <xf numFmtId="166" fontId="0" fillId="0" borderId="0" xfId="0" applyNumberFormat="1"/>
    <xf numFmtId="0" fontId="0" fillId="3" borderId="3" xfId="0" applyFill="1" applyBorder="1" applyAlignment="1"/>
    <xf numFmtId="0" fontId="0" fillId="7" borderId="18" xfId="0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/>
    <xf numFmtId="0" fontId="0" fillId="0" borderId="4" xfId="0" applyBorder="1"/>
    <xf numFmtId="0" fontId="1" fillId="8" borderId="21" xfId="0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1" fontId="0" fillId="3" borderId="28" xfId="0" applyNumberForma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8" borderId="4" xfId="0" applyFont="1" applyFill="1" applyBorder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2" fontId="0" fillId="10" borderId="27" xfId="0" applyNumberForma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0" fillId="0" borderId="12" xfId="0" applyBorder="1" applyAlignment="1">
      <alignment horizontal="center"/>
    </xf>
    <xf numFmtId="0" fontId="1" fillId="15" borderId="8" xfId="0" applyFont="1" applyFill="1" applyBorder="1" applyAlignment="1">
      <alignment horizontal="center"/>
    </xf>
    <xf numFmtId="0" fontId="1" fillId="15" borderId="10" xfId="0" applyFont="1" applyFill="1" applyBorder="1" applyAlignment="1">
      <alignment horizontal="center"/>
    </xf>
    <xf numFmtId="0" fontId="0" fillId="15" borderId="10" xfId="0" applyFill="1" applyBorder="1"/>
    <xf numFmtId="0" fontId="11" fillId="15" borderId="8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8" borderId="10" xfId="0" applyFont="1" applyFill="1" applyBorder="1" applyAlignment="1">
      <alignment horizontal="center"/>
    </xf>
    <xf numFmtId="0" fontId="1" fillId="8" borderId="10" xfId="0" applyFont="1" applyFill="1" applyBorder="1" applyAlignment="1">
      <alignment horizontal="center"/>
    </xf>
    <xf numFmtId="2" fontId="0" fillId="0" borderId="18" xfId="0" applyNumberFormat="1" applyFill="1" applyBorder="1" applyAlignment="1">
      <alignment horizontal="center"/>
    </xf>
    <xf numFmtId="0" fontId="0" fillId="8" borderId="21" xfId="0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5" fontId="0" fillId="3" borderId="1" xfId="0" applyNumberForma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8" borderId="12" xfId="0" applyFont="1" applyFill="1" applyBorder="1" applyAlignment="1">
      <alignment horizontal="center"/>
    </xf>
    <xf numFmtId="0" fontId="1" fillId="8" borderId="4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0" xfId="0" applyFont="1" applyBorder="1"/>
    <xf numFmtId="2" fontId="0" fillId="0" borderId="12" xfId="0" applyNumberFormat="1" applyFill="1" applyBorder="1" applyAlignment="1">
      <alignment horizontal="center"/>
    </xf>
    <xf numFmtId="0" fontId="1" fillId="18" borderId="2" xfId="0" applyFont="1" applyFill="1" applyBorder="1" applyAlignment="1">
      <alignment horizontal="center"/>
    </xf>
    <xf numFmtId="2" fontId="0" fillId="18" borderId="10" xfId="0" applyNumberFormat="1" applyFill="1" applyBorder="1" applyAlignment="1">
      <alignment horizontal="center"/>
    </xf>
    <xf numFmtId="0" fontId="0" fillId="18" borderId="21" xfId="0" applyFill="1" applyBorder="1"/>
    <xf numFmtId="0" fontId="0" fillId="18" borderId="3" xfId="0" applyFill="1" applyBorder="1"/>
    <xf numFmtId="1" fontId="0" fillId="18" borderId="1" xfId="0" applyNumberFormat="1" applyFill="1" applyBorder="1" applyAlignment="1">
      <alignment horizontal="center"/>
    </xf>
    <xf numFmtId="2" fontId="0" fillId="18" borderId="4" xfId="0" applyNumberFormat="1" applyFill="1" applyBorder="1" applyAlignment="1">
      <alignment horizontal="center"/>
    </xf>
    <xf numFmtId="0" fontId="0" fillId="18" borderId="26" xfId="0" applyFill="1" applyBorder="1"/>
    <xf numFmtId="164" fontId="0" fillId="18" borderId="4" xfId="0" applyNumberFormat="1" applyFill="1" applyBorder="1" applyAlignment="1">
      <alignment horizontal="center"/>
    </xf>
    <xf numFmtId="165" fontId="0" fillId="18" borderId="17" xfId="0" applyNumberFormat="1" applyFill="1" applyBorder="1" applyAlignment="1">
      <alignment horizontal="center"/>
    </xf>
    <xf numFmtId="2" fontId="0" fillId="19" borderId="8" xfId="0" applyNumberFormat="1" applyFill="1" applyBorder="1" applyAlignment="1">
      <alignment horizontal="center"/>
    </xf>
    <xf numFmtId="2" fontId="0" fillId="19" borderId="9" xfId="0" applyNumberFormat="1" applyFill="1" applyBorder="1" applyAlignment="1">
      <alignment horizontal="center"/>
    </xf>
    <xf numFmtId="2" fontId="0" fillId="19" borderId="0" xfId="0" applyNumberFormat="1" applyFill="1" applyBorder="1" applyAlignment="1">
      <alignment horizontal="center"/>
    </xf>
    <xf numFmtId="2" fontId="0" fillId="19" borderId="26" xfId="0" applyNumberFormat="1" applyFill="1" applyBorder="1" applyAlignment="1">
      <alignment horizontal="center"/>
    </xf>
    <xf numFmtId="2" fontId="0" fillId="19" borderId="10" xfId="0" applyNumberFormat="1" applyFill="1" applyBorder="1" applyAlignment="1">
      <alignment horizontal="center"/>
    </xf>
    <xf numFmtId="0" fontId="0" fillId="18" borderId="4" xfId="0" applyFill="1" applyBorder="1"/>
    <xf numFmtId="1" fontId="0" fillId="18" borderId="10" xfId="0" applyNumberFormat="1" applyFill="1" applyBorder="1" applyAlignment="1">
      <alignment horizontal="center"/>
    </xf>
    <xf numFmtId="2" fontId="0" fillId="18" borderId="18" xfId="0" applyNumberFormat="1" applyFill="1" applyBorder="1" applyAlignment="1">
      <alignment horizontal="center"/>
    </xf>
    <xf numFmtId="2" fontId="0" fillId="18" borderId="3" xfId="0" applyNumberFormat="1" applyFill="1" applyBorder="1"/>
    <xf numFmtId="0" fontId="0" fillId="0" borderId="0" xfId="0"/>
    <xf numFmtId="0" fontId="20" fillId="0" borderId="0" xfId="0" applyFont="1" applyFill="1"/>
    <xf numFmtId="0" fontId="29" fillId="0" borderId="0" xfId="0" applyFont="1" applyFill="1"/>
    <xf numFmtId="0" fontId="17" fillId="0" borderId="0" xfId="0" applyFont="1" applyFill="1" applyAlignment="1">
      <alignment horizontal="center"/>
    </xf>
    <xf numFmtId="0" fontId="27" fillId="0" borderId="0" xfId="0" applyFont="1" applyFill="1" applyAlignment="1">
      <alignment horizontal="center"/>
    </xf>
    <xf numFmtId="0" fontId="0" fillId="0" borderId="14" xfId="0" applyFill="1" applyBorder="1"/>
    <xf numFmtId="2" fontId="0" fillId="0" borderId="0" xfId="0" applyNumberFormat="1" applyAlignment="1">
      <alignment horizontal="center"/>
    </xf>
    <xf numFmtId="0" fontId="0" fillId="0" borderId="0" xfId="0"/>
    <xf numFmtId="2" fontId="0" fillId="0" borderId="0" xfId="0" applyNumberFormat="1" applyAlignment="1">
      <alignment horizontal="center"/>
    </xf>
    <xf numFmtId="0" fontId="0" fillId="0" borderId="0" xfId="0"/>
    <xf numFmtId="2" fontId="0" fillId="0" borderId="0" xfId="0" applyNumberFormat="1"/>
    <xf numFmtId="164" fontId="0" fillId="0" borderId="0" xfId="0" applyNumberFormat="1" applyAlignment="1">
      <alignment horizontal="center"/>
    </xf>
    <xf numFmtId="0" fontId="14" fillId="17" borderId="2" xfId="0" applyFont="1" applyFill="1" applyBorder="1" applyAlignment="1">
      <alignment horizontal="center"/>
    </xf>
    <xf numFmtId="0" fontId="0" fillId="17" borderId="3" xfId="0" applyFill="1" applyBorder="1" applyAlignment="1">
      <alignment horizontal="center"/>
    </xf>
    <xf numFmtId="0" fontId="0" fillId="17" borderId="4" xfId="0" applyFill="1" applyBorder="1" applyAlignment="1">
      <alignment horizontal="center"/>
    </xf>
    <xf numFmtId="0" fontId="1" fillId="16" borderId="2" xfId="0" applyFont="1" applyFill="1" applyBorder="1" applyAlignment="1">
      <alignment horizontal="center"/>
    </xf>
    <xf numFmtId="0" fontId="1" fillId="16" borderId="3" xfId="0" applyFont="1" applyFill="1" applyBorder="1" applyAlignment="1">
      <alignment horizontal="center"/>
    </xf>
    <xf numFmtId="0" fontId="1" fillId="16" borderId="12" xfId="0" applyFont="1" applyFill="1" applyBorder="1" applyAlignment="1">
      <alignment horizontal="center"/>
    </xf>
    <xf numFmtId="0" fontId="14" fillId="17" borderId="3" xfId="0" applyFont="1" applyFill="1" applyBorder="1" applyAlignment="1">
      <alignment horizontal="center"/>
    </xf>
    <xf numFmtId="0" fontId="14" fillId="17" borderId="4" xfId="0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0" fillId="3" borderId="20" xfId="0" applyFill="1" applyBorder="1" applyAlignment="1">
      <alignment horizontal="center"/>
    </xf>
    <xf numFmtId="0" fontId="1" fillId="17" borderId="19" xfId="0" applyFont="1" applyFill="1" applyBorder="1" applyAlignment="1">
      <alignment horizontal="center"/>
    </xf>
    <xf numFmtId="0" fontId="0" fillId="17" borderId="22" xfId="0" applyFill="1" applyBorder="1" applyAlignment="1">
      <alignment horizontal="center"/>
    </xf>
    <xf numFmtId="0" fontId="1" fillId="8" borderId="2" xfId="0" applyFont="1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8" borderId="2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0" fillId="8" borderId="12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8" borderId="5" xfId="0" applyFont="1" applyFill="1" applyBorder="1" applyAlignment="1">
      <alignment horizontal="center"/>
    </xf>
    <xf numFmtId="0" fontId="0" fillId="8" borderId="6" xfId="0" applyFill="1" applyBorder="1" applyAlignment="1">
      <alignment horizontal="center"/>
    </xf>
    <xf numFmtId="0" fontId="0" fillId="8" borderId="7" xfId="0" applyFill="1" applyBorder="1" applyAlignment="1">
      <alignment horizontal="center"/>
    </xf>
    <xf numFmtId="0" fontId="1" fillId="8" borderId="3" xfId="0" applyFont="1" applyFill="1" applyBorder="1" applyAlignment="1">
      <alignment horizontal="center"/>
    </xf>
    <xf numFmtId="0" fontId="1" fillId="8" borderId="12" xfId="0" applyFont="1" applyFill="1" applyBorder="1" applyAlignment="1">
      <alignment horizontal="center"/>
    </xf>
    <xf numFmtId="0" fontId="1" fillId="8" borderId="4" xfId="0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1" fillId="8" borderId="19" xfId="0" applyFont="1" applyFill="1" applyBorder="1" applyAlignment="1">
      <alignment horizontal="center"/>
    </xf>
    <xf numFmtId="0" fontId="1" fillId="8" borderId="20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/>
    </xf>
    <xf numFmtId="0" fontId="1" fillId="8" borderId="21" xfId="0" applyFont="1" applyFill="1" applyBorder="1" applyAlignment="1">
      <alignment horizontal="center"/>
    </xf>
    <xf numFmtId="0" fontId="1" fillId="8" borderId="18" xfId="0" applyFont="1" applyFill="1" applyBorder="1" applyAlignment="1">
      <alignment horizontal="center"/>
    </xf>
    <xf numFmtId="0" fontId="1" fillId="8" borderId="10" xfId="0" applyFont="1" applyFill="1" applyBorder="1" applyAlignment="1">
      <alignment horizontal="center"/>
    </xf>
    <xf numFmtId="0" fontId="1" fillId="9" borderId="2" xfId="0" applyFont="1" applyFill="1" applyBorder="1" applyAlignment="1">
      <alignment horizontal="center"/>
    </xf>
    <xf numFmtId="0" fontId="1" fillId="9" borderId="3" xfId="0" applyFont="1" applyFill="1" applyBorder="1" applyAlignment="1">
      <alignment horizontal="center"/>
    </xf>
    <xf numFmtId="0" fontId="1" fillId="9" borderId="4" xfId="0" applyFont="1" applyFill="1" applyBorder="1" applyAlignment="1">
      <alignment horizontal="center"/>
    </xf>
    <xf numFmtId="0" fontId="0" fillId="0" borderId="0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FFFF99"/>
      <color rgb="FFFDE8D7"/>
      <color rgb="FFFFFF66"/>
      <color rgb="FFFF7979"/>
      <color rgb="FFE1904D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externalLink" Target="externalLinks/externalLink1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8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externalLink" Target="externalLinks/externalLink1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externalLink" Target="externalLinks/externalLink7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externalLink" Target="externalLinks/externalLink1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externalLink" Target="externalLinks/externalLink14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pettri%20acisantonio%20-%20dirX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iagrazia/AppData/Roaming/Microsoft/Excel/Rigidezze/RigidezzaY_piani_4_3_2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iagrazia/AppData/Roaming/Microsoft/Excel/Rigidezze/RigidezzaY_piani_1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Risultati_analisistatica(masscorr)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Spettri%20acisantonio%20-%20dirX%20-%20TEL08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Spettri%20acisantonio%20-%20dirY%20-%20TEL08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Analisi%20Modale/Analisi_Modale%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pettri%20acisantonio%20-%20dirY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iagrazia/Desktop/Prog.%20Zona%20Sismica/Spettri%20acisantoni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iagrazia/AppData/Roaming/Microsoft/Excel/Rigidezze/Rigidezza2X%20-piani_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iagrazia/AppData/Roaming/Microsoft/Excel/Rigidezze/RigidezzaX_piani_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iagrazia/AppData/Roaming/Microsoft/Excel/Rigidezze/RigidezzaX_piani_4_3_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iagrazia/AppData/Roaming/Microsoft/Excel/Rigidezze/RigidezzaX_piani_1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iagrazia/AppData/Roaming/Microsoft/Excel/Rigidezze/Rigidezza2Y_piano_6%20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iagrazia/AppData/Roaming/Microsoft/Excel/Rigidezze/RigidezzaY_piani_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i"/>
      <sheetName val="spettri"/>
      <sheetName val="Se"/>
      <sheetName val="Sd"/>
      <sheetName val="T"/>
      <sheetName val="val x spettri"/>
      <sheetName val="SLO"/>
      <sheetName val="SLD"/>
      <sheetName val="SLV"/>
      <sheetName val="SLC"/>
      <sheetName val="suolo A"/>
      <sheetName val="suolo B"/>
      <sheetName val="suolo C"/>
      <sheetName val="suolo D"/>
      <sheetName val="suolo E"/>
      <sheetName val="Fig SLD"/>
      <sheetName val="Fig SLV"/>
    </sheetNames>
    <sheetDataSet>
      <sheetData sheetId="0">
        <row r="28">
          <cell r="D28">
            <v>9.813669628659899E-2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Rigidezza_P12"/>
      <sheetName val="Rigidezza_1_4_9_17_25"/>
      <sheetName val="Rigidezza_P11_19"/>
      <sheetName val="Rigidezza_2_10-18-26"/>
      <sheetName val="Rigidezza_20"/>
      <sheetName val="Rigidezza_3"/>
      <sheetName val="Rigidezza_27"/>
    </sheetNames>
    <sheetDataSet>
      <sheetData sheetId="0" refreshError="1">
        <row r="5">
          <cell r="L5">
            <v>32.925314647198725</v>
          </cell>
        </row>
      </sheetData>
      <sheetData sheetId="1" refreshError="1">
        <row r="5">
          <cell r="L5">
            <v>17.773792909041276</v>
          </cell>
        </row>
      </sheetData>
      <sheetData sheetId="2" refreshError="1">
        <row r="5">
          <cell r="L5">
            <v>21.631304278189067</v>
          </cell>
        </row>
      </sheetData>
      <sheetData sheetId="3" refreshError="1">
        <row r="5">
          <cell r="L5">
            <v>9.8820932188385253</v>
          </cell>
        </row>
      </sheetData>
      <sheetData sheetId="4" refreshError="1">
        <row r="5">
          <cell r="L5">
            <v>10.969744988207545</v>
          </cell>
        </row>
      </sheetData>
      <sheetData sheetId="5" refreshError="1">
        <row r="5">
          <cell r="L5">
            <v>2.1916064954831178</v>
          </cell>
        </row>
      </sheetData>
      <sheetData sheetId="6" refreshError="1">
        <row r="5">
          <cell r="L5">
            <v>1.9493779601405787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Rigidezza_P12"/>
      <sheetName val="Rigidezza_1_4_9_17_25"/>
      <sheetName val="Rigidezza_P11_19"/>
      <sheetName val="Rigidezza_2_10_18_26"/>
      <sheetName val="Rigidezza_20"/>
      <sheetName val="Rigidezza_3"/>
      <sheetName val="Rigidezza_27"/>
    </sheetNames>
    <sheetDataSet>
      <sheetData sheetId="0" refreshError="1">
        <row r="5">
          <cell r="L5">
            <v>38.261915787682113</v>
          </cell>
        </row>
      </sheetData>
      <sheetData sheetId="1" refreshError="1">
        <row r="5">
          <cell r="L5">
            <v>29.210787997055348</v>
          </cell>
        </row>
      </sheetData>
      <sheetData sheetId="2" refreshError="1">
        <row r="5">
          <cell r="L5">
            <v>31.681646431655569</v>
          </cell>
        </row>
      </sheetData>
      <sheetData sheetId="3" refreshError="1">
        <row r="5">
          <cell r="L5">
            <v>8.880553873297325</v>
          </cell>
        </row>
      </sheetData>
      <sheetData sheetId="4" refreshError="1">
        <row r="5">
          <cell r="L5">
            <v>9.3336612081509589</v>
          </cell>
        </row>
      </sheetData>
      <sheetData sheetId="5" refreshError="1">
        <row r="5">
          <cell r="L5">
            <v>4.6325153805373791</v>
          </cell>
        </row>
      </sheetData>
      <sheetData sheetId="6" refreshError="1">
        <row r="5">
          <cell r="L5">
            <v>4.4589457414320242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PIL"/>
      <sheetName val="RIG"/>
      <sheetName val="SPI"/>
      <sheetName val="SPO"/>
      <sheetName val="TRA"/>
      <sheetName val="TabPil"/>
    </sheetNames>
    <sheetDataSet>
      <sheetData sheetId="0" refreshError="1"/>
      <sheetData sheetId="1">
        <row r="2">
          <cell r="F2">
            <v>8.5960000000000001</v>
          </cell>
        </row>
        <row r="3">
          <cell r="F3">
            <v>9.6739999999999995</v>
          </cell>
        </row>
        <row r="4">
          <cell r="F4">
            <v>11.065</v>
          </cell>
        </row>
        <row r="5">
          <cell r="F5">
            <v>11.067</v>
          </cell>
        </row>
        <row r="6">
          <cell r="F6">
            <v>11.545</v>
          </cell>
        </row>
        <row r="7">
          <cell r="F7">
            <v>9.31</v>
          </cell>
        </row>
        <row r="8">
          <cell r="F8">
            <v>18.532</v>
          </cell>
        </row>
        <row r="9">
          <cell r="F9">
            <v>26.140999999999998</v>
          </cell>
        </row>
        <row r="10">
          <cell r="F10">
            <v>30.431000000000001</v>
          </cell>
        </row>
        <row r="11">
          <cell r="F11">
            <v>31.385999999999999</v>
          </cell>
        </row>
        <row r="12">
          <cell r="F12">
            <v>32.103000000000002</v>
          </cell>
        </row>
        <row r="13">
          <cell r="F13">
            <v>37.619</v>
          </cell>
        </row>
        <row r="14">
          <cell r="F14">
            <v>17.445</v>
          </cell>
        </row>
        <row r="15">
          <cell r="F15">
            <v>26.545000000000002</v>
          </cell>
        </row>
        <row r="16">
          <cell r="F16">
            <v>31.280999999999999</v>
          </cell>
        </row>
        <row r="17">
          <cell r="F17">
            <v>32.877000000000002</v>
          </cell>
        </row>
        <row r="18">
          <cell r="F18">
            <v>34.447000000000003</v>
          </cell>
        </row>
        <row r="19">
          <cell r="F19">
            <v>38.786000000000001</v>
          </cell>
        </row>
        <row r="20">
          <cell r="F20">
            <v>7.391</v>
          </cell>
        </row>
        <row r="21">
          <cell r="F21">
            <v>9.52</v>
          </cell>
        </row>
        <row r="22">
          <cell r="F22">
            <v>11.1</v>
          </cell>
        </row>
        <row r="23">
          <cell r="F23">
            <v>11.647</v>
          </cell>
        </row>
        <row r="24">
          <cell r="F24">
            <v>12.581</v>
          </cell>
        </row>
        <row r="25">
          <cell r="F25">
            <v>9.8070000000000004</v>
          </cell>
        </row>
        <row r="50">
          <cell r="F50">
            <v>7.8319999999999999</v>
          </cell>
        </row>
        <row r="51">
          <cell r="F51">
            <v>9.202</v>
          </cell>
        </row>
        <row r="52">
          <cell r="F52">
            <v>10.685</v>
          </cell>
        </row>
        <row r="53">
          <cell r="F53">
            <v>10.816000000000001</v>
          </cell>
        </row>
        <row r="54">
          <cell r="F54">
            <v>11.461</v>
          </cell>
        </row>
        <row r="55">
          <cell r="F55">
            <v>9.2940000000000005</v>
          </cell>
        </row>
        <row r="56">
          <cell r="F56">
            <v>15.07</v>
          </cell>
        </row>
        <row r="57">
          <cell r="F57">
            <v>23.289000000000001</v>
          </cell>
        </row>
        <row r="58">
          <cell r="F58">
            <v>26.853000000000002</v>
          </cell>
        </row>
        <row r="59">
          <cell r="F59">
            <v>28.228999999999999</v>
          </cell>
        </row>
        <row r="60">
          <cell r="F60">
            <v>28.678000000000001</v>
          </cell>
        </row>
        <row r="61">
          <cell r="F61">
            <v>35.774000000000001</v>
          </cell>
        </row>
        <row r="62">
          <cell r="F62">
            <v>9.5730000000000004</v>
          </cell>
        </row>
        <row r="63">
          <cell r="F63">
            <v>10.798</v>
          </cell>
        </row>
        <row r="64">
          <cell r="F64">
            <v>12.077</v>
          </cell>
        </row>
        <row r="65">
          <cell r="F65">
            <v>12.436</v>
          </cell>
        </row>
        <row r="66">
          <cell r="F66">
            <v>13.305</v>
          </cell>
        </row>
        <row r="67">
          <cell r="F67">
            <v>10.086</v>
          </cell>
        </row>
        <row r="68">
          <cell r="F68">
            <v>5.7809999999999997</v>
          </cell>
        </row>
        <row r="69">
          <cell r="F69">
            <v>4.968</v>
          </cell>
        </row>
        <row r="70">
          <cell r="F70">
            <v>4.5990000000000002</v>
          </cell>
        </row>
        <row r="71">
          <cell r="F71">
            <v>4.6920000000000002</v>
          </cell>
        </row>
        <row r="72">
          <cell r="F72">
            <v>4.4290000000000003</v>
          </cell>
        </row>
        <row r="73">
          <cell r="F73">
            <v>6.15</v>
          </cell>
        </row>
        <row r="74">
          <cell r="F74">
            <v>5.7809999999999997</v>
          </cell>
        </row>
        <row r="75">
          <cell r="F75">
            <v>4.968</v>
          </cell>
        </row>
        <row r="76">
          <cell r="F76">
            <v>4.5990000000000002</v>
          </cell>
        </row>
        <row r="77">
          <cell r="F77">
            <v>4.6920000000000002</v>
          </cell>
        </row>
        <row r="78">
          <cell r="F78">
            <v>4.4290000000000003</v>
          </cell>
        </row>
        <row r="79">
          <cell r="F79">
            <v>6.15</v>
          </cell>
        </row>
        <row r="80">
          <cell r="F80">
            <v>9.5730000000000004</v>
          </cell>
        </row>
        <row r="81">
          <cell r="F81">
            <v>10.798</v>
          </cell>
        </row>
        <row r="82">
          <cell r="F82">
            <v>12.077</v>
          </cell>
        </row>
        <row r="83">
          <cell r="F83">
            <v>12.436</v>
          </cell>
        </row>
        <row r="84">
          <cell r="F84">
            <v>13.305</v>
          </cell>
        </row>
        <row r="85">
          <cell r="F85">
            <v>10.086</v>
          </cell>
        </row>
        <row r="86">
          <cell r="F86">
            <v>15.07</v>
          </cell>
        </row>
        <row r="87">
          <cell r="F87">
            <v>23.289000000000001</v>
          </cell>
        </row>
        <row r="88">
          <cell r="F88">
            <v>26.853000000000002</v>
          </cell>
        </row>
        <row r="89">
          <cell r="F89">
            <v>28.228999999999999</v>
          </cell>
        </row>
        <row r="90">
          <cell r="F90">
            <v>28.678000000000001</v>
          </cell>
        </row>
        <row r="91">
          <cell r="F91">
            <v>35.774000000000001</v>
          </cell>
        </row>
        <row r="92">
          <cell r="F92">
            <v>7.8319999999999999</v>
          </cell>
        </row>
        <row r="93">
          <cell r="F93">
            <v>9.202</v>
          </cell>
        </row>
        <row r="94">
          <cell r="F94">
            <v>10.685</v>
          </cell>
        </row>
        <row r="95">
          <cell r="F95">
            <v>10.816000000000001</v>
          </cell>
        </row>
        <row r="96">
          <cell r="F96">
            <v>11.461</v>
          </cell>
        </row>
        <row r="97">
          <cell r="F97">
            <v>9.2940000000000005</v>
          </cell>
        </row>
        <row r="98">
          <cell r="F98">
            <v>7.7750000000000004</v>
          </cell>
        </row>
        <row r="99">
          <cell r="F99">
            <v>9.1890000000000001</v>
          </cell>
        </row>
        <row r="100">
          <cell r="F100">
            <v>10.65</v>
          </cell>
        </row>
        <row r="101">
          <cell r="F101">
            <v>10.8</v>
          </cell>
        </row>
        <row r="102">
          <cell r="F102">
            <v>11.475</v>
          </cell>
        </row>
        <row r="103">
          <cell r="F103">
            <v>9.2929999999999993</v>
          </cell>
        </row>
        <row r="104">
          <cell r="F104">
            <v>18.234999999999999</v>
          </cell>
        </row>
        <row r="105">
          <cell r="F105">
            <v>24.547999999999998</v>
          </cell>
        </row>
        <row r="106">
          <cell r="F106">
            <v>27.911000000000001</v>
          </cell>
        </row>
        <row r="107">
          <cell r="F107">
            <v>28.550999999999998</v>
          </cell>
        </row>
        <row r="108">
          <cell r="F108">
            <v>28.413</v>
          </cell>
        </row>
        <row r="109">
          <cell r="F109">
            <v>35.35</v>
          </cell>
        </row>
        <row r="110">
          <cell r="F110">
            <v>14.516999999999999</v>
          </cell>
        </row>
        <row r="111">
          <cell r="F111">
            <v>15.412000000000001</v>
          </cell>
        </row>
        <row r="112">
          <cell r="F112">
            <v>16.683</v>
          </cell>
        </row>
        <row r="113">
          <cell r="F113">
            <v>16.821000000000002</v>
          </cell>
        </row>
        <row r="114">
          <cell r="F114">
            <v>17.402000000000001</v>
          </cell>
        </row>
        <row r="115">
          <cell r="F115">
            <v>11.651</v>
          </cell>
        </row>
        <row r="116">
          <cell r="F116">
            <v>21.399000000000001</v>
          </cell>
        </row>
        <row r="117">
          <cell r="F117">
            <v>27.477</v>
          </cell>
        </row>
        <row r="118">
          <cell r="F118">
            <v>31.561</v>
          </cell>
        </row>
        <row r="119">
          <cell r="F119">
            <v>31.91</v>
          </cell>
        </row>
        <row r="120">
          <cell r="F120">
            <v>32.271999999999998</v>
          </cell>
        </row>
        <row r="121">
          <cell r="F121">
            <v>37.155999999999999</v>
          </cell>
        </row>
        <row r="122">
          <cell r="F122">
            <v>21.399000000000001</v>
          </cell>
        </row>
        <row r="123">
          <cell r="F123">
            <v>27.477</v>
          </cell>
        </row>
        <row r="124">
          <cell r="F124">
            <v>31.561</v>
          </cell>
        </row>
        <row r="125">
          <cell r="F125">
            <v>31.91</v>
          </cell>
        </row>
        <row r="126">
          <cell r="F126">
            <v>32.271999999999998</v>
          </cell>
        </row>
        <row r="127">
          <cell r="F127">
            <v>37.155999999999999</v>
          </cell>
        </row>
        <row r="128">
          <cell r="F128">
            <v>14.516999999999999</v>
          </cell>
        </row>
        <row r="129">
          <cell r="F129">
            <v>15.412000000000001</v>
          </cell>
        </row>
        <row r="130">
          <cell r="F130">
            <v>16.683</v>
          </cell>
        </row>
        <row r="131">
          <cell r="F131">
            <v>16.821000000000002</v>
          </cell>
        </row>
        <row r="132">
          <cell r="F132">
            <v>17.402000000000001</v>
          </cell>
        </row>
        <row r="133">
          <cell r="F133">
            <v>11.651</v>
          </cell>
        </row>
        <row r="134">
          <cell r="F134">
            <v>18.234999999999999</v>
          </cell>
        </row>
        <row r="135">
          <cell r="F135">
            <v>24.547999999999998</v>
          </cell>
        </row>
        <row r="136">
          <cell r="F136">
            <v>27.911000000000001</v>
          </cell>
        </row>
        <row r="137">
          <cell r="F137">
            <v>28.550999999999998</v>
          </cell>
        </row>
        <row r="138">
          <cell r="F138">
            <v>28.413</v>
          </cell>
        </row>
        <row r="139">
          <cell r="F139">
            <v>35.35</v>
          </cell>
        </row>
        <row r="140">
          <cell r="F140">
            <v>7.7750000000000004</v>
          </cell>
        </row>
        <row r="141">
          <cell r="F141">
            <v>9.1890000000000001</v>
          </cell>
        </row>
        <row r="142">
          <cell r="F142">
            <v>10.65</v>
          </cell>
        </row>
        <row r="143">
          <cell r="F143">
            <v>10.8</v>
          </cell>
        </row>
        <row r="144">
          <cell r="F144">
            <v>11.475</v>
          </cell>
        </row>
        <row r="145">
          <cell r="F145">
            <v>9.2929999999999993</v>
          </cell>
        </row>
        <row r="146">
          <cell r="F146">
            <v>7.5270000000000001</v>
          </cell>
        </row>
        <row r="147">
          <cell r="F147">
            <v>9.0190000000000001</v>
          </cell>
        </row>
        <row r="148">
          <cell r="F148">
            <v>10.496</v>
          </cell>
        </row>
        <row r="149">
          <cell r="F149">
            <v>10.708</v>
          </cell>
        </row>
        <row r="150">
          <cell r="F150">
            <v>11.403</v>
          </cell>
        </row>
        <row r="151">
          <cell r="F151">
            <v>9.2309999999999999</v>
          </cell>
        </row>
        <row r="152">
          <cell r="F152">
            <v>15.831</v>
          </cell>
        </row>
        <row r="153">
          <cell r="F153">
            <v>23.128</v>
          </cell>
        </row>
        <row r="154">
          <cell r="F154">
            <v>27.122</v>
          </cell>
        </row>
        <row r="155">
          <cell r="F155">
            <v>27.983000000000001</v>
          </cell>
        </row>
        <row r="156">
          <cell r="F156">
            <v>28.783000000000001</v>
          </cell>
        </row>
        <row r="157">
          <cell r="F157">
            <v>35.512999999999998</v>
          </cell>
        </row>
        <row r="158">
          <cell r="F158">
            <v>9.9109999999999996</v>
          </cell>
        </row>
        <row r="159">
          <cell r="F159">
            <v>15.736000000000001</v>
          </cell>
        </row>
        <row r="160">
          <cell r="F160">
            <v>17.138000000000002</v>
          </cell>
        </row>
        <row r="161">
          <cell r="F161">
            <v>18.265000000000001</v>
          </cell>
        </row>
        <row r="162">
          <cell r="F162">
            <v>17.335999999999999</v>
          </cell>
        </row>
        <row r="163">
          <cell r="F163">
            <v>30.109000000000002</v>
          </cell>
        </row>
        <row r="164">
          <cell r="F164">
            <v>5.1639999999999997</v>
          </cell>
        </row>
        <row r="165">
          <cell r="F165">
            <v>4.258</v>
          </cell>
        </row>
        <row r="166">
          <cell r="F166">
            <v>4.1070000000000002</v>
          </cell>
        </row>
        <row r="167">
          <cell r="F167">
            <v>4.0380000000000003</v>
          </cell>
        </row>
        <row r="168">
          <cell r="F168">
            <v>4.1429999999999998</v>
          </cell>
        </row>
        <row r="169">
          <cell r="F169">
            <v>3.6179999999999999</v>
          </cell>
        </row>
        <row r="170">
          <cell r="F170">
            <v>9.9109999999999996</v>
          </cell>
        </row>
        <row r="171">
          <cell r="F171">
            <v>15.736000000000001</v>
          </cell>
        </row>
        <row r="172">
          <cell r="F172">
            <v>17.138000000000002</v>
          </cell>
        </row>
        <row r="173">
          <cell r="F173">
            <v>18.265000000000001</v>
          </cell>
        </row>
        <row r="174">
          <cell r="F174">
            <v>17.335999999999999</v>
          </cell>
        </row>
        <row r="175">
          <cell r="F175">
            <v>30.109000000000002</v>
          </cell>
        </row>
        <row r="176">
          <cell r="F176">
            <v>15.831</v>
          </cell>
        </row>
        <row r="177">
          <cell r="F177">
            <v>23.128</v>
          </cell>
        </row>
        <row r="178">
          <cell r="F178">
            <v>27.122</v>
          </cell>
        </row>
        <row r="179">
          <cell r="F179">
            <v>27.983000000000001</v>
          </cell>
        </row>
        <row r="180">
          <cell r="F180">
            <v>28.783000000000001</v>
          </cell>
        </row>
        <row r="181">
          <cell r="F181">
            <v>35.512999999999998</v>
          </cell>
        </row>
        <row r="182">
          <cell r="F182">
            <v>7.5270000000000001</v>
          </cell>
        </row>
        <row r="183">
          <cell r="F183">
            <v>9.0190000000000001</v>
          </cell>
        </row>
        <row r="184">
          <cell r="F184">
            <v>10.496</v>
          </cell>
        </row>
        <row r="185">
          <cell r="F185">
            <v>10.708</v>
          </cell>
        </row>
        <row r="186">
          <cell r="F186">
            <v>11.403</v>
          </cell>
        </row>
        <row r="187">
          <cell r="F187">
            <v>9.2309999999999999</v>
          </cell>
        </row>
        <row r="188">
          <cell r="G188">
            <v>7.032</v>
          </cell>
        </row>
        <row r="189">
          <cell r="G189">
            <v>12.534000000000001</v>
          </cell>
        </row>
        <row r="190">
          <cell r="G190">
            <v>15.058999999999999</v>
          </cell>
        </row>
        <row r="191">
          <cell r="G191">
            <v>16.265000000000001</v>
          </cell>
        </row>
        <row r="192">
          <cell r="G192">
            <v>17.286999999999999</v>
          </cell>
        </row>
        <row r="193">
          <cell r="G193">
            <v>27.34</v>
          </cell>
        </row>
        <row r="194">
          <cell r="G194">
            <v>11.941000000000001</v>
          </cell>
        </row>
        <row r="195">
          <cell r="G195">
            <v>15.382</v>
          </cell>
        </row>
        <row r="196">
          <cell r="G196">
            <v>17.971</v>
          </cell>
        </row>
        <row r="197">
          <cell r="G197">
            <v>18.965</v>
          </cell>
        </row>
        <row r="198">
          <cell r="G198">
            <v>20.2</v>
          </cell>
        </row>
        <row r="199">
          <cell r="G199">
            <v>28.817</v>
          </cell>
        </row>
        <row r="200">
          <cell r="G200">
            <v>11.992000000000001</v>
          </cell>
        </row>
        <row r="201">
          <cell r="G201">
            <v>14.913</v>
          </cell>
        </row>
        <row r="202">
          <cell r="G202">
            <v>17.216999999999999</v>
          </cell>
        </row>
        <row r="203">
          <cell r="G203">
            <v>17.983000000000001</v>
          </cell>
        </row>
        <row r="204">
          <cell r="G204">
            <v>18.802</v>
          </cell>
        </row>
        <row r="205">
          <cell r="G205">
            <v>28.03</v>
          </cell>
        </row>
        <row r="206">
          <cell r="G206">
            <v>7.0439999999999996</v>
          </cell>
        </row>
        <row r="207">
          <cell r="G207">
            <v>12.045</v>
          </cell>
        </row>
        <row r="208">
          <cell r="G208">
            <v>14.27</v>
          </cell>
        </row>
        <row r="209">
          <cell r="G209">
            <v>15.254</v>
          </cell>
        </row>
        <row r="210">
          <cell r="G210">
            <v>15.845000000000001</v>
          </cell>
        </row>
        <row r="211">
          <cell r="G211">
            <v>26.523</v>
          </cell>
        </row>
        <row r="212">
          <cell r="G212">
            <v>6.39</v>
          </cell>
        </row>
        <row r="213">
          <cell r="G213">
            <v>7.4059999999999997</v>
          </cell>
        </row>
        <row r="214">
          <cell r="G214">
            <v>8.6880000000000006</v>
          </cell>
        </row>
        <row r="215">
          <cell r="G215">
            <v>8.8550000000000004</v>
          </cell>
        </row>
        <row r="216">
          <cell r="G216">
            <v>9.4060000000000006</v>
          </cell>
        </row>
        <row r="217">
          <cell r="G217">
            <v>8.0069999999999997</v>
          </cell>
        </row>
        <row r="218">
          <cell r="G218">
            <v>8.7989999999999995</v>
          </cell>
        </row>
        <row r="219">
          <cell r="G219">
            <v>9.0589999999999993</v>
          </cell>
        </row>
        <row r="220">
          <cell r="G220">
            <v>10.036</v>
          </cell>
        </row>
        <row r="221">
          <cell r="G221">
            <v>10.18</v>
          </cell>
        </row>
        <row r="222">
          <cell r="G222">
            <v>10.702</v>
          </cell>
        </row>
        <row r="223">
          <cell r="G223">
            <v>8.5950000000000006</v>
          </cell>
        </row>
        <row r="224">
          <cell r="G224">
            <v>8.6760000000000002</v>
          </cell>
        </row>
        <row r="225">
          <cell r="G225">
            <v>8.8209999999999997</v>
          </cell>
        </row>
        <row r="226">
          <cell r="G226">
            <v>9.77</v>
          </cell>
        </row>
        <row r="227">
          <cell r="G227">
            <v>9.8520000000000003</v>
          </cell>
        </row>
        <row r="228">
          <cell r="G228">
            <v>10.327</v>
          </cell>
        </row>
        <row r="229">
          <cell r="G229">
            <v>8.4169999999999998</v>
          </cell>
        </row>
        <row r="230">
          <cell r="G230">
            <v>6.1929999999999996</v>
          </cell>
        </row>
        <row r="231">
          <cell r="G231">
            <v>7.1159999999999997</v>
          </cell>
        </row>
        <row r="232">
          <cell r="G232">
            <v>8.3650000000000002</v>
          </cell>
        </row>
        <row r="233">
          <cell r="G233">
            <v>8.4689999999999994</v>
          </cell>
        </row>
        <row r="234">
          <cell r="G234">
            <v>8.9649999999999999</v>
          </cell>
        </row>
        <row r="235">
          <cell r="G235">
            <v>7.7939999999999996</v>
          </cell>
        </row>
        <row r="236">
          <cell r="G236">
            <v>2.786</v>
          </cell>
        </row>
        <row r="237">
          <cell r="G237">
            <v>2.3119999999999998</v>
          </cell>
        </row>
        <row r="238">
          <cell r="G238">
            <v>2.1150000000000002</v>
          </cell>
        </row>
        <row r="239">
          <cell r="G239">
            <v>2.2639999999999998</v>
          </cell>
        </row>
        <row r="240">
          <cell r="G240">
            <v>2.0790000000000002</v>
          </cell>
        </row>
        <row r="241">
          <cell r="G241">
            <v>4.383</v>
          </cell>
        </row>
        <row r="242">
          <cell r="G242">
            <v>4.4089999999999998</v>
          </cell>
        </row>
        <row r="243">
          <cell r="G243">
            <v>12.651</v>
          </cell>
        </row>
        <row r="244">
          <cell r="G244">
            <v>16.059000000000001</v>
          </cell>
        </row>
        <row r="245">
          <cell r="G245">
            <v>19.265999999999998</v>
          </cell>
        </row>
        <row r="246">
          <cell r="G246">
            <v>23.044</v>
          </cell>
        </row>
        <row r="247">
          <cell r="G247">
            <v>30.885000000000002</v>
          </cell>
        </row>
        <row r="248">
          <cell r="G248">
            <v>1.2150000000000001</v>
          </cell>
        </row>
        <row r="249">
          <cell r="G249">
            <v>10.791</v>
          </cell>
        </row>
        <row r="250">
          <cell r="G250">
            <v>14.138999999999999</v>
          </cell>
        </row>
        <row r="251">
          <cell r="G251">
            <v>17.492999999999999</v>
          </cell>
        </row>
        <row r="252">
          <cell r="G252">
            <v>21.146999999999998</v>
          </cell>
        </row>
        <row r="253">
          <cell r="G253">
            <v>29.934999999999999</v>
          </cell>
        </row>
        <row r="254">
          <cell r="G254">
            <v>8.8070000000000004</v>
          </cell>
        </row>
        <row r="255">
          <cell r="G255">
            <v>13.058</v>
          </cell>
        </row>
        <row r="256">
          <cell r="G256">
            <v>15.333</v>
          </cell>
        </row>
        <row r="257">
          <cell r="G257">
            <v>16.030999999999999</v>
          </cell>
        </row>
        <row r="258">
          <cell r="G258">
            <v>16.274999999999999</v>
          </cell>
        </row>
        <row r="259">
          <cell r="G259">
            <v>26.594000000000001</v>
          </cell>
        </row>
        <row r="260">
          <cell r="G260">
            <v>17.128</v>
          </cell>
        </row>
        <row r="261">
          <cell r="G261">
            <v>22.884</v>
          </cell>
        </row>
        <row r="262">
          <cell r="G262">
            <v>28.071000000000002</v>
          </cell>
        </row>
        <row r="263">
          <cell r="G263">
            <v>29.332999999999998</v>
          </cell>
        </row>
        <row r="264">
          <cell r="G264">
            <v>31.998999999999999</v>
          </cell>
        </row>
        <row r="265">
          <cell r="G265">
            <v>34.719000000000001</v>
          </cell>
        </row>
        <row r="266">
          <cell r="G266">
            <v>6.6790000000000003</v>
          </cell>
        </row>
        <row r="267">
          <cell r="G267">
            <v>8.5709999999999997</v>
          </cell>
        </row>
        <row r="268">
          <cell r="G268">
            <v>10.273999999999999</v>
          </cell>
        </row>
        <row r="269">
          <cell r="G269">
            <v>11.071</v>
          </cell>
        </row>
        <row r="270">
          <cell r="G270">
            <v>12.26</v>
          </cell>
        </row>
        <row r="271">
          <cell r="G271">
            <v>9.4689999999999994</v>
          </cell>
        </row>
      </sheetData>
      <sheetData sheetId="2">
        <row r="2">
          <cell r="P2">
            <v>14.79772</v>
          </cell>
        </row>
        <row r="3">
          <cell r="Q3">
            <v>18.25</v>
          </cell>
        </row>
        <row r="4">
          <cell r="P4">
            <v>12.2637</v>
          </cell>
        </row>
        <row r="5">
          <cell r="Q5">
            <v>16.178000000000001</v>
          </cell>
        </row>
        <row r="6">
          <cell r="P6">
            <v>10.457979999999999</v>
          </cell>
        </row>
        <row r="7">
          <cell r="Q7">
            <v>13.465</v>
          </cell>
        </row>
        <row r="8">
          <cell r="P8">
            <v>8.2576400000000003</v>
          </cell>
        </row>
        <row r="9">
          <cell r="Q9">
            <v>10.295999999999999</v>
          </cell>
        </row>
        <row r="10">
          <cell r="P10">
            <v>5.6718700000000002</v>
          </cell>
        </row>
        <row r="11">
          <cell r="Q11">
            <v>6.7190000000000003</v>
          </cell>
        </row>
        <row r="12">
          <cell r="P12">
            <v>2.9824199999999998</v>
          </cell>
        </row>
        <row r="13">
          <cell r="Q13">
            <v>3.0259999999999998</v>
          </cell>
        </row>
      </sheetData>
      <sheetData sheetId="3" refreshError="1"/>
      <sheetData sheetId="4">
        <row r="3">
          <cell r="Q3">
            <v>36.197000000000003</v>
          </cell>
        </row>
        <row r="4">
          <cell r="Q4">
            <v>36.197000000000003</v>
          </cell>
        </row>
        <row r="7">
          <cell r="Q7">
            <v>62.237000000000002</v>
          </cell>
        </row>
        <row r="8">
          <cell r="Q8">
            <v>62.237000000000002</v>
          </cell>
        </row>
        <row r="11">
          <cell r="Q11">
            <v>114.428</v>
          </cell>
        </row>
        <row r="12">
          <cell r="Q12">
            <v>114.428</v>
          </cell>
        </row>
        <row r="15">
          <cell r="Q15">
            <v>141.047</v>
          </cell>
        </row>
        <row r="16">
          <cell r="Q16">
            <v>141.047</v>
          </cell>
        </row>
        <row r="19">
          <cell r="Q19">
            <v>165.72900000000001</v>
          </cell>
        </row>
        <row r="20">
          <cell r="Q20">
            <v>165.72900000000001</v>
          </cell>
        </row>
        <row r="23">
          <cell r="Q23">
            <v>180.59200000000001</v>
          </cell>
        </row>
        <row r="24">
          <cell r="Q24">
            <v>180.59200000000001</v>
          </cell>
        </row>
        <row r="29">
          <cell r="Q29">
            <v>47.639000000000003</v>
          </cell>
        </row>
        <row r="30">
          <cell r="Q30">
            <v>45.508000000000003</v>
          </cell>
        </row>
        <row r="33">
          <cell r="Q33">
            <v>73.646000000000001</v>
          </cell>
        </row>
        <row r="34">
          <cell r="Q34">
            <v>71.488</v>
          </cell>
        </row>
        <row r="37">
          <cell r="Q37">
            <v>139.01599999999999</v>
          </cell>
        </row>
        <row r="38">
          <cell r="Q38">
            <v>132.43199999999999</v>
          </cell>
        </row>
        <row r="41">
          <cell r="Q41">
            <v>165.45099999999999</v>
          </cell>
        </row>
        <row r="42">
          <cell r="Q42">
            <v>167.89099999999999</v>
          </cell>
        </row>
        <row r="45">
          <cell r="Q45">
            <v>212.34399999999999</v>
          </cell>
        </row>
        <row r="46">
          <cell r="Q46">
            <v>214.77099999999999</v>
          </cell>
        </row>
        <row r="49">
          <cell r="Q49">
            <v>232.27</v>
          </cell>
        </row>
        <row r="50">
          <cell r="Q50">
            <v>235.21899999999999</v>
          </cell>
        </row>
      </sheetData>
      <sheetData sheetId="5">
        <row r="725">
          <cell r="F725">
            <v>64.332999999999998</v>
          </cell>
          <cell r="P725">
            <v>75.162000000000006</v>
          </cell>
        </row>
        <row r="727">
          <cell r="F727">
            <v>29.992000000000001</v>
          </cell>
          <cell r="P727">
            <v>35.484000000000002</v>
          </cell>
        </row>
        <row r="729">
          <cell r="F729">
            <v>91.323999999999998</v>
          </cell>
          <cell r="P729">
            <v>100.589</v>
          </cell>
        </row>
        <row r="731">
          <cell r="F731">
            <v>55.451000000000001</v>
          </cell>
          <cell r="P731">
            <v>62.082000000000001</v>
          </cell>
        </row>
        <row r="733">
          <cell r="F733">
            <v>132.87</v>
          </cell>
          <cell r="P733">
            <v>150.79300000000001</v>
          </cell>
        </row>
        <row r="735">
          <cell r="F735">
            <v>77.555999999999997</v>
          </cell>
          <cell r="P735">
            <v>88.953999999999994</v>
          </cell>
        </row>
        <row r="737">
          <cell r="F737">
            <v>154.05099999999999</v>
          </cell>
          <cell r="P737">
            <v>172.452</v>
          </cell>
        </row>
        <row r="739">
          <cell r="F739">
            <v>92.32</v>
          </cell>
          <cell r="P739">
            <v>104.935</v>
          </cell>
        </row>
        <row r="741">
          <cell r="F741">
            <v>167.52600000000001</v>
          </cell>
          <cell r="P741">
            <v>183.57599999999999</v>
          </cell>
        </row>
        <row r="743">
          <cell r="F743">
            <v>103.828</v>
          </cell>
          <cell r="P743">
            <v>118.178</v>
          </cell>
        </row>
        <row r="745">
          <cell r="F745">
            <v>164.268</v>
          </cell>
          <cell r="P745">
            <v>139.72499999999999</v>
          </cell>
        </row>
        <row r="746">
          <cell r="F746">
            <v>255.61699999999999</v>
          </cell>
          <cell r="P746">
            <v>248.95699999999999</v>
          </cell>
        </row>
        <row r="747">
          <cell r="F747">
            <v>113.346</v>
          </cell>
          <cell r="P747">
            <v>105.04900000000001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Dati"/>
      <sheetName val="spettri"/>
      <sheetName val="Se"/>
      <sheetName val="Sd"/>
      <sheetName val="T"/>
      <sheetName val="val x spettri"/>
      <sheetName val="SLO"/>
      <sheetName val="SLD"/>
      <sheetName val="SLV"/>
      <sheetName val="SLC"/>
      <sheetName val="suolo A"/>
      <sheetName val="suolo B"/>
      <sheetName val="suolo C"/>
      <sheetName val="suolo D"/>
      <sheetName val="suolo E"/>
      <sheetName val="Fig SLD"/>
      <sheetName val="Fig SLV"/>
    </sheetNames>
    <sheetDataSet>
      <sheetData sheetId="0">
        <row r="28">
          <cell r="D28">
            <v>9.5394641537414601E-2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Dati"/>
      <sheetName val="spettri"/>
      <sheetName val="Se"/>
      <sheetName val="Sd"/>
      <sheetName val="T"/>
      <sheetName val="val x spettri"/>
      <sheetName val="SLO"/>
      <sheetName val="SLD"/>
      <sheetName val="SLV"/>
      <sheetName val="SLC"/>
      <sheetName val="suolo A"/>
      <sheetName val="suolo B"/>
      <sheetName val="suolo C"/>
      <sheetName val="suolo D"/>
      <sheetName val="suolo E"/>
      <sheetName val="Fig SLD"/>
      <sheetName val="Fig SLV"/>
    </sheetNames>
    <sheetDataSet>
      <sheetData sheetId="0">
        <row r="28">
          <cell r="D28">
            <v>8.5465555000582255E-2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PIL"/>
      <sheetName val="RIG"/>
      <sheetName val="SPI"/>
      <sheetName val="SPO"/>
      <sheetName val="TabPil"/>
      <sheetName val="TRA"/>
      <sheetName val="InvTRA"/>
      <sheetName val="InvPil"/>
      <sheetName val="Trave 1-25"/>
      <sheetName val="Grafico 1-25"/>
      <sheetName val="Armatura_Travi"/>
      <sheetName val="Pilastro 1"/>
      <sheetName val="Ger. Rest"/>
    </sheetNames>
    <sheetDataSet>
      <sheetData sheetId="0" refreshError="1"/>
      <sheetData sheetId="1" refreshError="1"/>
      <sheetData sheetId="2" refreshError="1"/>
      <sheetData sheetId="3" refreshError="1"/>
      <sheetData sheetId="4">
        <row r="723">
          <cell r="E723">
            <v>58.512999999999998</v>
          </cell>
          <cell r="P723">
            <v>76.061000000000007</v>
          </cell>
        </row>
        <row r="725">
          <cell r="E725">
            <v>27.629000000000001</v>
          </cell>
          <cell r="P725">
            <v>37.031999999999996</v>
          </cell>
        </row>
        <row r="727">
          <cell r="E727">
            <v>83.203000000000003</v>
          </cell>
          <cell r="P727">
            <v>97.21</v>
          </cell>
        </row>
        <row r="729">
          <cell r="E729">
            <v>50.552</v>
          </cell>
          <cell r="P729">
            <v>60.762999999999998</v>
          </cell>
        </row>
        <row r="731">
          <cell r="E731">
            <v>122.503</v>
          </cell>
          <cell r="P731">
            <v>142.65</v>
          </cell>
        </row>
        <row r="733">
          <cell r="E733">
            <v>71.989999999999995</v>
          </cell>
          <cell r="P733">
            <v>84.450999999999993</v>
          </cell>
        </row>
        <row r="735">
          <cell r="E735">
            <v>148.99</v>
          </cell>
          <cell r="P735">
            <v>163.26599999999999</v>
          </cell>
        </row>
        <row r="737">
          <cell r="E737">
            <v>89.569000000000003</v>
          </cell>
          <cell r="P737">
            <v>99.084999999999994</v>
          </cell>
        </row>
        <row r="739">
          <cell r="E739">
            <v>167.99299999999999</v>
          </cell>
          <cell r="P739">
            <v>175.69200000000001</v>
          </cell>
        </row>
        <row r="741">
          <cell r="E741">
            <v>103.937</v>
          </cell>
          <cell r="P741">
            <v>112.45699999999999</v>
          </cell>
        </row>
        <row r="743">
          <cell r="E743">
            <v>162.90799999999999</v>
          </cell>
          <cell r="P743">
            <v>135.16999999999999</v>
          </cell>
        </row>
        <row r="744">
          <cell r="E744">
            <v>252.601</v>
          </cell>
          <cell r="P744">
            <v>238.17699999999999</v>
          </cell>
        </row>
        <row r="745">
          <cell r="E745">
            <v>112.285</v>
          </cell>
          <cell r="P745">
            <v>100.867</v>
          </cell>
        </row>
      </sheetData>
      <sheetData sheetId="5">
        <row r="2">
          <cell r="R2">
            <v>33.058</v>
          </cell>
        </row>
        <row r="3">
          <cell r="R3">
            <v>33.058</v>
          </cell>
        </row>
        <row r="6">
          <cell r="R6">
            <v>57.384</v>
          </cell>
        </row>
        <row r="7">
          <cell r="R7">
            <v>57.384</v>
          </cell>
        </row>
        <row r="10">
          <cell r="R10">
            <v>108.40300000000001</v>
          </cell>
        </row>
        <row r="11">
          <cell r="R11">
            <v>108.40300000000001</v>
          </cell>
        </row>
        <row r="14">
          <cell r="R14">
            <v>138.41</v>
          </cell>
        </row>
        <row r="15">
          <cell r="R15">
            <v>138.41</v>
          </cell>
        </row>
        <row r="18">
          <cell r="R18">
            <v>164.107</v>
          </cell>
        </row>
        <row r="19">
          <cell r="R19">
            <v>164.107</v>
          </cell>
        </row>
        <row r="22">
          <cell r="R22">
            <v>179.21</v>
          </cell>
        </row>
        <row r="23">
          <cell r="R23">
            <v>179.21</v>
          </cell>
        </row>
        <row r="26">
          <cell r="R26">
            <v>47.128999999999998</v>
          </cell>
        </row>
        <row r="27">
          <cell r="R27">
            <v>44.853000000000002</v>
          </cell>
        </row>
        <row r="30">
          <cell r="R30">
            <v>71.576999999999998</v>
          </cell>
        </row>
        <row r="31">
          <cell r="R31">
            <v>69.42</v>
          </cell>
        </row>
        <row r="34">
          <cell r="R34">
            <v>131.95699999999999</v>
          </cell>
        </row>
        <row r="35">
          <cell r="R35">
            <v>126.152</v>
          </cell>
        </row>
        <row r="38">
          <cell r="R38">
            <v>156.173</v>
          </cell>
        </row>
        <row r="39">
          <cell r="R39">
            <v>158.46199999999999</v>
          </cell>
        </row>
        <row r="42">
          <cell r="R42">
            <v>201.57300000000001</v>
          </cell>
        </row>
        <row r="43">
          <cell r="R43">
            <v>203.84899999999999</v>
          </cell>
        </row>
        <row r="46">
          <cell r="R46">
            <v>222.56</v>
          </cell>
        </row>
        <row r="47">
          <cell r="R47">
            <v>225.35599999999999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i"/>
      <sheetName val="spettri"/>
      <sheetName val="Se"/>
      <sheetName val="Sd"/>
      <sheetName val="T"/>
      <sheetName val="val x spettri"/>
      <sheetName val="SLO"/>
      <sheetName val="SLD"/>
      <sheetName val="SLV"/>
      <sheetName val="SLC"/>
      <sheetName val="suolo A"/>
      <sheetName val="suolo B"/>
      <sheetName val="suolo C"/>
      <sheetName val="suolo D"/>
      <sheetName val="suolo E"/>
      <sheetName val="Fig SLD"/>
      <sheetName val="Fig SLV"/>
    </sheetNames>
    <sheetDataSet>
      <sheetData sheetId="0">
        <row r="28">
          <cell r="D28">
            <v>8.5129076437587839E-2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Dati"/>
      <sheetName val="spettri"/>
      <sheetName val="Se"/>
      <sheetName val="Sd"/>
      <sheetName val="T"/>
      <sheetName val="val x spettri"/>
      <sheetName val="SLO"/>
      <sheetName val="SLD"/>
      <sheetName val="SLV"/>
      <sheetName val="SLC"/>
      <sheetName val="suolo A"/>
      <sheetName val="suolo B"/>
      <sheetName val="suolo C"/>
      <sheetName val="suolo D"/>
      <sheetName val="suolo E"/>
      <sheetName val="Fig SLD"/>
      <sheetName val="Fig SLV"/>
    </sheetNames>
    <sheetDataSet>
      <sheetData sheetId="0">
        <row r="28">
          <cell r="D28">
            <v>9.253688480091575E-2</v>
          </cell>
        </row>
      </sheetData>
      <sheetData sheetId="1" refreshError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Rigidezza_P6"/>
      <sheetName val="Rigidezza_P7-15-23"/>
      <sheetName val="Rigidezza_P21"/>
      <sheetName val="Rigidezza_P30"/>
      <sheetName val="Rigidezza_P29"/>
      <sheetName val="Rigidezza_P22"/>
      <sheetName val="Rigidezze_P5-14"/>
      <sheetName val="Rigidezza_P8-16-24-31"/>
      <sheetName val="Rigidezza_P13"/>
    </sheetNames>
    <sheetDataSet>
      <sheetData sheetId="0" refreshError="1">
        <row r="5">
          <cell r="L5">
            <v>26.326962104424197</v>
          </cell>
        </row>
      </sheetData>
      <sheetData sheetId="1" refreshError="1">
        <row r="5">
          <cell r="L5">
            <v>23.240557688334988</v>
          </cell>
        </row>
      </sheetData>
      <sheetData sheetId="2" refreshError="1">
        <row r="5">
          <cell r="L5">
            <v>24.189495305256873</v>
          </cell>
        </row>
      </sheetData>
      <sheetData sheetId="3" refreshError="1">
        <row r="5">
          <cell r="L5">
            <v>20.073805964045754</v>
          </cell>
        </row>
      </sheetData>
      <sheetData sheetId="4" refreshError="1">
        <row r="5">
          <cell r="L5">
            <v>10.519290886953659</v>
          </cell>
        </row>
      </sheetData>
      <sheetData sheetId="5" refreshError="1">
        <row r="5">
          <cell r="L5">
            <v>12.060631487702521</v>
          </cell>
        </row>
      </sheetData>
      <sheetData sheetId="6" refreshError="1">
        <row r="5">
          <cell r="L5">
            <v>9.2661686276775441</v>
          </cell>
        </row>
      </sheetData>
      <sheetData sheetId="7" refreshError="1">
        <row r="5">
          <cell r="L5">
            <v>7.716559837213314</v>
          </cell>
        </row>
      </sheetData>
      <sheetData sheetId="8" refreshError="1">
        <row r="5">
          <cell r="L5">
            <v>8.7469458670453157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Rigidezza_P6"/>
      <sheetName val="Rigidezza_P7-15-23"/>
      <sheetName val="Rigidezza_P21"/>
      <sheetName val="Rigidezza_P30"/>
      <sheetName val="Rigidezza_P29"/>
      <sheetName val="Rigidezza_P22"/>
      <sheetName val="Rigidezza_P5-14"/>
      <sheetName val="Rigidezza_P8-16-24-31"/>
      <sheetName val="Rigidezza_P13"/>
    </sheetNames>
    <sheetDataSet>
      <sheetData sheetId="0" refreshError="1">
        <row r="5">
          <cell r="L5">
            <v>31.793132531486194</v>
          </cell>
        </row>
      </sheetData>
      <sheetData sheetId="1" refreshError="1">
        <row r="5">
          <cell r="L5">
            <v>28.376806783960017</v>
          </cell>
        </row>
      </sheetData>
      <sheetData sheetId="2" refreshError="1">
        <row r="5">
          <cell r="L5">
            <v>29.433975324499407</v>
          </cell>
        </row>
      </sheetData>
      <sheetData sheetId="3" refreshError="1">
        <row r="5">
          <cell r="L5">
            <v>24.803062710960912</v>
          </cell>
        </row>
      </sheetData>
      <sheetData sheetId="4" refreshError="1">
        <row r="5">
          <cell r="L5">
            <v>13.53553068463809</v>
          </cell>
        </row>
      </sheetData>
      <sheetData sheetId="5" refreshError="1">
        <row r="5">
          <cell r="L5">
            <v>13.010933386186988</v>
          </cell>
        </row>
      </sheetData>
      <sheetData sheetId="6" refreshError="1">
        <row r="5">
          <cell r="L5">
            <v>10.397099142353861</v>
          </cell>
        </row>
      </sheetData>
      <sheetData sheetId="7" refreshError="1">
        <row r="5">
          <cell r="L5">
            <v>8.8663376723703475</v>
          </cell>
        </row>
      </sheetData>
      <sheetData sheetId="8" refreshError="1">
        <row r="5">
          <cell r="L5">
            <v>8.7469458670453157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Rigidezza_P6"/>
      <sheetName val="Rigidezza_P7-15-23"/>
      <sheetName val="Rigidezza_P21"/>
      <sheetName val="Rigidezza_P30"/>
      <sheetName val="Rigidezza_P29"/>
      <sheetName val="Rigidezza_P22"/>
      <sheetName val="Rigidezza_P5-14"/>
      <sheetName val="Rigidezza_P8_16_-24-31"/>
      <sheetName val="Rigidezza_P13"/>
    </sheetNames>
    <sheetDataSet>
      <sheetData sheetId="0" refreshError="1">
        <row r="5">
          <cell r="L5">
            <v>38.109106012941943</v>
          </cell>
        </row>
      </sheetData>
      <sheetData sheetId="1" refreshError="1">
        <row r="5">
          <cell r="L5">
            <v>34.293983447366259</v>
          </cell>
        </row>
      </sheetData>
      <sheetData sheetId="2" refreshError="1">
        <row r="5">
          <cell r="L5">
            <v>35.482634455961659</v>
          </cell>
        </row>
      </sheetData>
      <sheetData sheetId="3" refreshError="1">
        <row r="5">
          <cell r="L5">
            <v>30.222585452355389</v>
          </cell>
        </row>
      </sheetData>
      <sheetData sheetId="4" refreshError="1">
        <row r="5">
          <cell r="L5">
            <v>16.871200355944332</v>
          </cell>
        </row>
      </sheetData>
      <sheetData sheetId="5" refreshError="1">
        <row r="5">
          <cell r="L5">
            <v>14.050672211142158</v>
          </cell>
        </row>
      </sheetData>
      <sheetData sheetId="6" refreshError="1">
        <row r="5">
          <cell r="L5">
            <v>11.676582112970708</v>
          </cell>
        </row>
      </sheetData>
      <sheetData sheetId="7" refreshError="1">
        <row r="5">
          <cell r="L5">
            <v>10.185047901459853</v>
          </cell>
        </row>
      </sheetData>
      <sheetData sheetId="8" refreshError="1">
        <row r="5">
          <cell r="L5">
            <v>8.7469458670453157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Rigidezza_P6"/>
      <sheetName val="Rigidezza_P7-15-23"/>
      <sheetName val="Rigidezza_P21"/>
      <sheetName val="Rigidezza_P30"/>
      <sheetName val="Rigidezza_P29"/>
      <sheetName val="Rigidezza_P22"/>
      <sheetName val="Rigidezza_P5-14"/>
      <sheetName val="Rigidezza_P8-16-24-31"/>
      <sheetName val="Rigidezza_P13"/>
    </sheetNames>
    <sheetDataSet>
      <sheetData sheetId="0" refreshError="1">
        <row r="5">
          <cell r="L5">
            <v>40.994172814644081</v>
          </cell>
        </row>
      </sheetData>
      <sheetData sheetId="1" refreshError="1">
        <row r="5">
          <cell r="L5">
            <v>38.999595691256978</v>
          </cell>
        </row>
      </sheetData>
      <sheetData sheetId="2" refreshError="1">
        <row r="5">
          <cell r="L5">
            <v>39.630623062319806</v>
          </cell>
        </row>
      </sheetData>
      <sheetData sheetId="3" refreshError="1">
        <row r="5">
          <cell r="L5">
            <v>36.769247132588475</v>
          </cell>
        </row>
      </sheetData>
      <sheetData sheetId="4" refreshError="1">
        <row r="5">
          <cell r="L5">
            <v>28.614491973976044</v>
          </cell>
        </row>
      </sheetData>
      <sheetData sheetId="5" refreshError="1">
        <row r="5">
          <cell r="L5">
            <v>10.47922439554835</v>
          </cell>
        </row>
      </sheetData>
      <sheetData sheetId="6" refreshError="1">
        <row r="5">
          <cell r="L5">
            <v>9.6136140515386383</v>
          </cell>
        </row>
      </sheetData>
      <sheetData sheetId="7" refreshError="1">
        <row r="5">
          <cell r="L5">
            <v>9.0095980925514016</v>
          </cell>
        </row>
      </sheetData>
      <sheetData sheetId="8" refreshError="1">
        <row r="5">
          <cell r="L5">
            <v>5.2661250566367297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Rigidezza_P12"/>
      <sheetName val="Rigidezza_P1-4-9-17-25"/>
      <sheetName val="Rigidezza_P11-19"/>
      <sheetName val="Rigidezza_P2-10-18-26"/>
      <sheetName val="Rigidezza_P20"/>
      <sheetName val="Rigidezza_P3"/>
      <sheetName val="Rigidezza_P27"/>
    </sheetNames>
    <sheetDataSet>
      <sheetData sheetId="0" refreshError="1">
        <row r="5">
          <cell r="L5">
            <v>22.161748101519208</v>
          </cell>
        </row>
      </sheetData>
      <sheetData sheetId="1" refreshError="1">
        <row r="5">
          <cell r="L5">
            <v>12.058777502800043</v>
          </cell>
        </row>
      </sheetData>
      <sheetData sheetId="2" refreshError="1">
        <row r="5">
          <cell r="L5">
            <v>15.246324268722059</v>
          </cell>
        </row>
      </sheetData>
      <sheetData sheetId="3" refreshError="1">
        <row r="5">
          <cell r="L5">
            <v>7.8211967872228785</v>
          </cell>
        </row>
      </sheetData>
      <sheetData sheetId="4" refreshError="1">
        <row r="5">
          <cell r="L5">
            <v>8.7728827313948567</v>
          </cell>
        </row>
      </sheetData>
      <sheetData sheetId="5" refreshError="1">
        <row r="5">
          <cell r="L5">
            <v>2.3730687066935863</v>
          </cell>
        </row>
      </sheetData>
      <sheetData sheetId="6" refreshError="1">
        <row r="5">
          <cell r="L5">
            <v>2.0916425538037853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Rigidezza_P12"/>
      <sheetName val="Rigidezza_1_4_9_17_25"/>
      <sheetName val="Rigidezza_P11_19"/>
      <sheetName val="Rigidezza_2_10_18_26"/>
      <sheetName val="Rigidezza_20"/>
      <sheetName val="Rigidezza_3"/>
      <sheetName val="Rigidezza_27"/>
    </sheetNames>
    <sheetDataSet>
      <sheetData sheetId="0" refreshError="1">
        <row r="5">
          <cell r="L5">
            <v>27.167393575775225</v>
          </cell>
        </row>
      </sheetData>
      <sheetData sheetId="1" refreshError="1">
        <row r="5">
          <cell r="L5">
            <v>14.27821243742039</v>
          </cell>
        </row>
      </sheetData>
      <sheetData sheetId="2" refreshError="1">
        <row r="5">
          <cell r="L5">
            <v>17.480923458767474</v>
          </cell>
        </row>
      </sheetData>
      <sheetData sheetId="3" refreshError="1">
        <row r="5">
          <cell r="L5">
            <v>8.5649107914795426</v>
          </cell>
        </row>
      </sheetData>
      <sheetData sheetId="4" refreshError="1">
        <row r="5">
          <cell r="L5">
            <v>9.6617261026544288</v>
          </cell>
        </row>
      </sheetData>
      <sheetData sheetId="5" refreshError="1">
        <row r="5">
          <cell r="L5">
            <v>2.1916064954831178</v>
          </cell>
        </row>
      </sheetData>
      <sheetData sheetId="6" refreshError="1">
        <row r="5">
          <cell r="L5">
            <v>1.9493779601405787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79"/>
  <sheetViews>
    <sheetView topLeftCell="L1" zoomScale="80" zoomScaleNormal="80" workbookViewId="0">
      <selection activeCell="Q40" sqref="Q40"/>
    </sheetView>
  </sheetViews>
  <sheetFormatPr defaultRowHeight="15"/>
  <cols>
    <col min="1" max="1" width="33.85546875" style="378" customWidth="1"/>
    <col min="2" max="2" width="13.7109375" style="378" customWidth="1"/>
    <col min="3" max="3" width="14.28515625" style="378" customWidth="1"/>
    <col min="4" max="4" width="17.140625" style="378" customWidth="1"/>
    <col min="5" max="5" width="25.85546875" style="378" customWidth="1"/>
    <col min="6" max="6" width="25.42578125" style="378" customWidth="1"/>
    <col min="7" max="7" width="31.28515625" style="378" customWidth="1"/>
    <col min="8" max="8" width="19.140625" style="378" customWidth="1"/>
    <col min="9" max="9" width="22.85546875" style="378" customWidth="1"/>
    <col min="10" max="10" width="14" style="378" customWidth="1"/>
    <col min="11" max="11" width="15.28515625" style="378" customWidth="1"/>
    <col min="12" max="12" width="25.28515625" style="378" customWidth="1"/>
    <col min="13" max="13" width="28.42578125" style="378" customWidth="1"/>
    <col min="14" max="14" width="23" style="378" customWidth="1"/>
    <col min="15" max="15" width="32.42578125" style="378" customWidth="1"/>
    <col min="16" max="16" width="24.42578125" style="378" customWidth="1"/>
    <col min="17" max="17" width="20.85546875" style="378" customWidth="1"/>
    <col min="18" max="18" width="11.7109375" style="378" customWidth="1"/>
    <col min="19" max="19" width="25.28515625" style="378" customWidth="1"/>
    <col min="20" max="20" width="22.28515625" style="378" customWidth="1"/>
    <col min="21" max="21" width="7" style="378" customWidth="1"/>
    <col min="22" max="22" width="19.28515625" style="378" customWidth="1"/>
    <col min="23" max="16384" width="9.140625" style="378"/>
  </cols>
  <sheetData>
    <row r="1" spans="1:15" ht="15.75" thickBot="1">
      <c r="A1" s="465" t="s">
        <v>139</v>
      </c>
      <c r="B1" s="466"/>
      <c r="C1" s="466"/>
      <c r="D1" s="466"/>
      <c r="E1" s="466"/>
      <c r="F1" s="466"/>
      <c r="G1" s="467"/>
      <c r="I1" s="16" t="s">
        <v>33</v>
      </c>
      <c r="J1" s="17"/>
      <c r="K1" s="48"/>
      <c r="N1" s="458" t="s">
        <v>46</v>
      </c>
      <c r="O1" s="459"/>
    </row>
    <row r="2" spans="1:15" ht="18" thickBot="1">
      <c r="A2" s="216"/>
      <c r="B2" s="99" t="s">
        <v>11</v>
      </c>
      <c r="C2" s="99" t="s">
        <v>12</v>
      </c>
      <c r="D2" s="99" t="s">
        <v>13</v>
      </c>
      <c r="E2" s="99" t="s">
        <v>5</v>
      </c>
      <c r="F2" s="120" t="s">
        <v>6</v>
      </c>
      <c r="G2" s="221" t="s">
        <v>30</v>
      </c>
      <c r="I2" s="380" t="s">
        <v>105</v>
      </c>
      <c r="J2" s="46">
        <v>4.3</v>
      </c>
      <c r="K2" s="47"/>
      <c r="N2" s="224"/>
      <c r="O2" s="225" t="s">
        <v>48</v>
      </c>
    </row>
    <row r="3" spans="1:15" ht="15.75" thickBot="1">
      <c r="A3" s="99" t="s">
        <v>2</v>
      </c>
      <c r="B3" s="375">
        <v>0.04</v>
      </c>
      <c r="C3" s="375">
        <v>1</v>
      </c>
      <c r="D3" s="375">
        <v>1</v>
      </c>
      <c r="E3" s="375" t="s">
        <v>27</v>
      </c>
      <c r="F3" s="381">
        <v>25</v>
      </c>
      <c r="G3" s="1">
        <f>B3*C3*D3*25</f>
        <v>1</v>
      </c>
      <c r="I3" s="380" t="s">
        <v>106</v>
      </c>
      <c r="J3" s="42">
        <f>J2/25</f>
        <v>0.17199999999999999</v>
      </c>
      <c r="K3" s="47"/>
      <c r="N3" s="99" t="s">
        <v>47</v>
      </c>
      <c r="O3" s="376" t="s">
        <v>49</v>
      </c>
    </row>
    <row r="4" spans="1:15">
      <c r="A4" s="99" t="s">
        <v>3</v>
      </c>
      <c r="B4" s="1">
        <v>0.18</v>
      </c>
      <c r="C4" s="1">
        <v>0.08</v>
      </c>
      <c r="D4" s="1">
        <v>1</v>
      </c>
      <c r="E4" s="1" t="s">
        <v>27</v>
      </c>
      <c r="F4" s="3">
        <v>25</v>
      </c>
      <c r="G4" s="1">
        <f>3*C4*B4*D4*F4</f>
        <v>1.0799999999999998</v>
      </c>
      <c r="N4" s="99" t="s">
        <v>51</v>
      </c>
      <c r="O4" s="376" t="s">
        <v>52</v>
      </c>
    </row>
    <row r="5" spans="1:15" ht="17.25">
      <c r="A5" s="99" t="s">
        <v>4</v>
      </c>
      <c r="B5" s="1">
        <v>0.18</v>
      </c>
      <c r="C5" s="1">
        <v>0.33</v>
      </c>
      <c r="D5" s="1">
        <v>0.4</v>
      </c>
      <c r="E5" s="1">
        <v>7.5999999999999998E-2</v>
      </c>
      <c r="F5" s="3" t="s">
        <v>27</v>
      </c>
      <c r="G5" s="1">
        <f>J5*E5</f>
        <v>0.56999999999999995</v>
      </c>
      <c r="I5" s="14" t="s">
        <v>35</v>
      </c>
      <c r="J5" s="464">
        <v>7.5</v>
      </c>
      <c r="K5" s="464"/>
      <c r="N5" s="216" t="s">
        <v>53</v>
      </c>
      <c r="O5" s="15" t="s">
        <v>54</v>
      </c>
    </row>
    <row r="6" spans="1:15" ht="15.75" thickBot="1">
      <c r="A6" s="8" t="s">
        <v>7</v>
      </c>
      <c r="B6" s="9"/>
      <c r="C6" s="9"/>
      <c r="D6" s="9"/>
      <c r="E6" s="9"/>
      <c r="F6" s="9"/>
      <c r="G6" s="220">
        <f>SUM(G3:G5)</f>
        <v>2.65</v>
      </c>
    </row>
    <row r="7" spans="1:15" ht="18" thickBot="1">
      <c r="A7" s="216"/>
      <c r="B7" s="99" t="s">
        <v>11</v>
      </c>
      <c r="C7" s="99" t="s">
        <v>12</v>
      </c>
      <c r="D7" s="216" t="s">
        <v>13</v>
      </c>
      <c r="E7" s="216"/>
      <c r="F7" s="120" t="s">
        <v>6</v>
      </c>
      <c r="G7" s="221" t="s">
        <v>31</v>
      </c>
    </row>
    <row r="8" spans="1:15">
      <c r="A8" s="99" t="s">
        <v>9</v>
      </c>
      <c r="B8" s="375">
        <v>1</v>
      </c>
      <c r="C8" s="375">
        <v>1</v>
      </c>
      <c r="D8" s="375">
        <v>0.08</v>
      </c>
      <c r="E8" s="379" t="s">
        <v>27</v>
      </c>
      <c r="F8" s="69">
        <v>6</v>
      </c>
      <c r="G8" s="29">
        <f>F8*D8*C8*B8</f>
        <v>0.48</v>
      </c>
    </row>
    <row r="9" spans="1:15">
      <c r="A9" s="99" t="s">
        <v>10</v>
      </c>
      <c r="B9" s="1">
        <v>1</v>
      </c>
      <c r="C9" s="1">
        <v>1</v>
      </c>
      <c r="D9" s="1">
        <v>0.02</v>
      </c>
      <c r="E9" s="379" t="s">
        <v>27</v>
      </c>
      <c r="F9" s="1">
        <v>28</v>
      </c>
      <c r="G9" s="1">
        <f>F9*D9*C9*B9</f>
        <v>0.56000000000000005</v>
      </c>
    </row>
    <row r="10" spans="1:15">
      <c r="A10" s="102" t="s">
        <v>8</v>
      </c>
      <c r="B10" s="1">
        <v>1</v>
      </c>
      <c r="C10" s="1">
        <v>1</v>
      </c>
      <c r="D10" s="1">
        <v>0.02</v>
      </c>
      <c r="E10" s="379" t="s">
        <v>27</v>
      </c>
      <c r="F10" s="1">
        <v>20</v>
      </c>
      <c r="G10" s="1">
        <f>F10*D10*C10*B10</f>
        <v>0.4</v>
      </c>
    </row>
    <row r="11" spans="1:15">
      <c r="A11" s="8" t="s">
        <v>7</v>
      </c>
      <c r="B11" s="9"/>
      <c r="C11" s="9"/>
      <c r="D11" s="9"/>
      <c r="E11" s="9"/>
      <c r="F11" s="9"/>
      <c r="G11" s="10">
        <f>SUM(G8:G10)</f>
        <v>1.44</v>
      </c>
    </row>
    <row r="12" spans="1:15">
      <c r="G12" s="442"/>
    </row>
    <row r="14" spans="1:15" ht="15.75" thickBot="1">
      <c r="A14" s="456" t="s">
        <v>26</v>
      </c>
      <c r="B14" s="468"/>
      <c r="C14" s="468"/>
      <c r="D14" s="468"/>
      <c r="E14" s="468"/>
      <c r="F14" s="468"/>
      <c r="G14" s="469"/>
      <c r="I14" s="18" t="s">
        <v>34</v>
      </c>
      <c r="J14" s="9"/>
      <c r="K14" s="19"/>
    </row>
    <row r="15" spans="1:15" ht="18" thickBot="1">
      <c r="A15" s="222"/>
      <c r="B15" s="99" t="s">
        <v>11</v>
      </c>
      <c r="C15" s="99" t="s">
        <v>12</v>
      </c>
      <c r="D15" s="99" t="s">
        <v>13</v>
      </c>
      <c r="E15" s="99" t="s">
        <v>5</v>
      </c>
      <c r="F15" s="120" t="s">
        <v>6</v>
      </c>
      <c r="G15" s="221" t="s">
        <v>30</v>
      </c>
      <c r="I15" s="376" t="s">
        <v>0</v>
      </c>
      <c r="J15" s="461">
        <v>150</v>
      </c>
      <c r="K15" s="461"/>
      <c r="L15" s="379"/>
    </row>
    <row r="16" spans="1:15" ht="15.75" thickBot="1">
      <c r="A16" s="99" t="s">
        <v>2</v>
      </c>
      <c r="B16" s="1">
        <v>0.04</v>
      </c>
      <c r="C16" s="1">
        <v>1</v>
      </c>
      <c r="D16" s="1">
        <v>1</v>
      </c>
      <c r="E16" s="379" t="s">
        <v>27</v>
      </c>
      <c r="F16" s="3">
        <v>25</v>
      </c>
      <c r="G16" s="1">
        <f>B16*C16*D16*F16</f>
        <v>1</v>
      </c>
      <c r="I16" s="380" t="s">
        <v>1</v>
      </c>
      <c r="J16" s="462">
        <f>J15/8</f>
        <v>18.75</v>
      </c>
      <c r="K16" s="463"/>
    </row>
    <row r="17" spans="1:18">
      <c r="A17" s="99" t="s">
        <v>3</v>
      </c>
      <c r="B17" s="1">
        <v>0.18</v>
      </c>
      <c r="C17" s="1">
        <v>0.08</v>
      </c>
      <c r="D17" s="1">
        <v>1</v>
      </c>
      <c r="E17" s="379" t="s">
        <v>27</v>
      </c>
      <c r="F17" s="3">
        <v>25</v>
      </c>
      <c r="G17" s="1">
        <f>3*B17*C17*D17*F17</f>
        <v>1.08</v>
      </c>
    </row>
    <row r="18" spans="1:18">
      <c r="A18" s="99" t="s">
        <v>4</v>
      </c>
      <c r="B18" s="1">
        <v>0.18</v>
      </c>
      <c r="C18" s="1">
        <v>0.33</v>
      </c>
      <c r="D18" s="1">
        <v>0.4</v>
      </c>
      <c r="E18" s="1">
        <v>7.5999999999999998E-2</v>
      </c>
      <c r="F18" s="3" t="s">
        <v>27</v>
      </c>
      <c r="G18" s="1">
        <f>J5*E18</f>
        <v>0.56999999999999995</v>
      </c>
    </row>
    <row r="19" spans="1:18" ht="15.75" thickBot="1">
      <c r="A19" s="8" t="s">
        <v>7</v>
      </c>
      <c r="B19" s="9"/>
      <c r="C19" s="9"/>
      <c r="D19" s="9"/>
      <c r="E19" s="9"/>
      <c r="F19" s="9"/>
      <c r="G19" s="220">
        <f>SUM(G16:G18)</f>
        <v>2.65</v>
      </c>
    </row>
    <row r="20" spans="1:18" ht="18" thickBot="1">
      <c r="A20" s="97"/>
      <c r="B20" s="99" t="s">
        <v>11</v>
      </c>
      <c r="C20" s="99" t="s">
        <v>12</v>
      </c>
      <c r="D20" s="223" t="s">
        <v>13</v>
      </c>
      <c r="E20" s="216"/>
      <c r="F20" s="120" t="s">
        <v>6</v>
      </c>
      <c r="G20" s="221" t="s">
        <v>31</v>
      </c>
    </row>
    <row r="21" spans="1:18">
      <c r="A21" s="99" t="s">
        <v>29</v>
      </c>
      <c r="B21" s="1">
        <v>1</v>
      </c>
      <c r="C21" s="1">
        <v>1</v>
      </c>
      <c r="D21" s="375">
        <v>0.04</v>
      </c>
      <c r="E21" s="379" t="s">
        <v>27</v>
      </c>
      <c r="F21" s="381">
        <v>18</v>
      </c>
      <c r="G21" s="1">
        <f>F21*D21*C21*B21</f>
        <v>0.72</v>
      </c>
    </row>
    <row r="22" spans="1:18">
      <c r="A22" s="99" t="s">
        <v>14</v>
      </c>
      <c r="B22" s="1">
        <v>1</v>
      </c>
      <c r="C22" s="1">
        <v>1</v>
      </c>
      <c r="D22" s="1">
        <v>0.02</v>
      </c>
      <c r="E22" s="379" t="s">
        <v>27</v>
      </c>
      <c r="F22" s="3">
        <v>22</v>
      </c>
      <c r="G22" s="1">
        <f>B22*C22*D22*F22</f>
        <v>0.44</v>
      </c>
    </row>
    <row r="23" spans="1:18">
      <c r="A23" s="102" t="s">
        <v>8</v>
      </c>
      <c r="B23" s="1">
        <v>1</v>
      </c>
      <c r="C23" s="1">
        <v>1</v>
      </c>
      <c r="D23" s="1">
        <v>0.02</v>
      </c>
      <c r="E23" s="379" t="s">
        <v>27</v>
      </c>
      <c r="F23" s="3">
        <v>20</v>
      </c>
      <c r="G23" s="1">
        <f>B23*C23*D23*F23</f>
        <v>0.4</v>
      </c>
    </row>
    <row r="24" spans="1:18">
      <c r="A24" s="8" t="s">
        <v>7</v>
      </c>
      <c r="B24" s="9"/>
      <c r="C24" s="9"/>
      <c r="D24" s="9"/>
      <c r="E24" s="9"/>
      <c r="F24" s="9"/>
      <c r="G24" s="382">
        <f>SUM(G21:G23,)</f>
        <v>1.56</v>
      </c>
    </row>
    <row r="26" spans="1:18">
      <c r="A26" s="11"/>
      <c r="B26" s="12"/>
      <c r="C26" s="12"/>
      <c r="D26" s="12"/>
      <c r="E26" s="12"/>
      <c r="F26" s="12"/>
      <c r="G26" s="11"/>
    </row>
    <row r="27" spans="1:18" ht="15.75" thickBot="1">
      <c r="A27" s="456" t="s">
        <v>28</v>
      </c>
      <c r="B27" s="457"/>
      <c r="C27" s="457"/>
      <c r="D27" s="457"/>
      <c r="E27" s="457"/>
      <c r="F27" s="457"/>
      <c r="G27" s="460"/>
      <c r="L27" s="456" t="s">
        <v>422</v>
      </c>
      <c r="M27" s="468"/>
      <c r="N27" s="468"/>
      <c r="O27" s="468"/>
      <c r="P27" s="468"/>
      <c r="Q27" s="470"/>
      <c r="R27" s="50"/>
    </row>
    <row r="28" spans="1:18" ht="18" thickBot="1">
      <c r="A28" s="99" t="s">
        <v>15</v>
      </c>
      <c r="B28" s="99" t="s">
        <v>11</v>
      </c>
      <c r="C28" s="223" t="s">
        <v>12</v>
      </c>
      <c r="D28" s="216" t="s">
        <v>13</v>
      </c>
      <c r="E28" s="216"/>
      <c r="F28" s="120" t="s">
        <v>6</v>
      </c>
      <c r="G28" s="221" t="s">
        <v>32</v>
      </c>
      <c r="I28" s="13" t="s">
        <v>50</v>
      </c>
      <c r="J28" s="15">
        <f>3.2-0.34</f>
        <v>2.8600000000000003</v>
      </c>
      <c r="L28" s="103" t="s">
        <v>15</v>
      </c>
      <c r="M28" s="103" t="s">
        <v>11</v>
      </c>
      <c r="N28" s="366" t="s">
        <v>12</v>
      </c>
      <c r="O28" s="103" t="s">
        <v>13</v>
      </c>
      <c r="P28" s="119" t="s">
        <v>6</v>
      </c>
      <c r="Q28" s="332" t="s">
        <v>32</v>
      </c>
    </row>
    <row r="29" spans="1:18">
      <c r="A29" s="99" t="s">
        <v>16</v>
      </c>
      <c r="B29" s="4">
        <f>J28</f>
        <v>2.8600000000000003</v>
      </c>
      <c r="C29" s="375">
        <f>0.08+0.12</f>
        <v>0.2</v>
      </c>
      <c r="D29" s="375">
        <v>1</v>
      </c>
      <c r="E29" s="5"/>
      <c r="F29" s="375">
        <v>6</v>
      </c>
      <c r="G29" s="1">
        <f>B29*C29*D29*F29</f>
        <v>3.4320000000000004</v>
      </c>
      <c r="L29" s="99" t="s">
        <v>16</v>
      </c>
      <c r="M29" s="4">
        <f>$J$28</f>
        <v>2.8600000000000003</v>
      </c>
      <c r="N29" s="375">
        <f>0.08</f>
        <v>0.08</v>
      </c>
      <c r="O29" s="375">
        <v>1</v>
      </c>
      <c r="P29" s="375">
        <v>6</v>
      </c>
      <c r="Q29" s="29">
        <f>M29*N29*O29*P29</f>
        <v>1.3728000000000002</v>
      </c>
    </row>
    <row r="30" spans="1:18">
      <c r="A30" s="102" t="s">
        <v>8</v>
      </c>
      <c r="B30" s="4">
        <f>J28</f>
        <v>2.8600000000000003</v>
      </c>
      <c r="C30" s="1">
        <f>0.03+0.01</f>
        <v>0.04</v>
      </c>
      <c r="D30" s="1">
        <v>1</v>
      </c>
      <c r="E30" s="1"/>
      <c r="F30" s="1">
        <v>20</v>
      </c>
      <c r="G30" s="1">
        <f>B30*C30*D30*F30</f>
        <v>2.2880000000000003</v>
      </c>
      <c r="L30" s="102" t="s">
        <v>8</v>
      </c>
      <c r="M30" s="4">
        <f>$J$28</f>
        <v>2.8600000000000003</v>
      </c>
      <c r="N30" s="1">
        <f>0.02</f>
        <v>0.02</v>
      </c>
      <c r="O30" s="1">
        <v>1</v>
      </c>
      <c r="P30" s="1">
        <v>20</v>
      </c>
      <c r="Q30" s="29">
        <f>M30*N30*O30*P30</f>
        <v>1.1440000000000001</v>
      </c>
    </row>
    <row r="31" spans="1:18">
      <c r="A31" s="8" t="s">
        <v>7</v>
      </c>
      <c r="B31" s="365"/>
      <c r="C31" s="9"/>
      <c r="D31" s="9"/>
      <c r="E31" s="9"/>
      <c r="F31" s="9"/>
      <c r="G31" s="382">
        <f>SUM(G29:G30)</f>
        <v>5.7200000000000006</v>
      </c>
      <c r="L31" s="8" t="s">
        <v>7</v>
      </c>
      <c r="M31" s="9"/>
      <c r="N31" s="9"/>
      <c r="O31" s="9"/>
      <c r="P31" s="9"/>
      <c r="Q31" s="10">
        <f>SUM(Q29:Q30)</f>
        <v>2.5168000000000004</v>
      </c>
    </row>
    <row r="32" spans="1:18">
      <c r="G32" s="379"/>
    </row>
    <row r="33" spans="1:15" ht="15.75" thickBot="1">
      <c r="A33" s="456" t="s">
        <v>36</v>
      </c>
      <c r="B33" s="457"/>
      <c r="C33" s="457"/>
      <c r="D33" s="457"/>
      <c r="E33" s="457"/>
      <c r="F33" s="457"/>
      <c r="G33" s="460"/>
      <c r="I33" s="456" t="s">
        <v>257</v>
      </c>
      <c r="J33" s="457"/>
      <c r="K33" s="457"/>
      <c r="L33" s="457"/>
      <c r="M33" s="457"/>
      <c r="N33" s="457"/>
      <c r="O33" s="460"/>
    </row>
    <row r="34" spans="1:15" ht="17.25" customHeight="1" thickBot="1">
      <c r="A34" s="227"/>
      <c r="B34" s="229" t="s">
        <v>86</v>
      </c>
      <c r="C34" s="99" t="s">
        <v>11</v>
      </c>
      <c r="D34" s="99" t="s">
        <v>13</v>
      </c>
      <c r="E34" s="230"/>
      <c r="F34" s="120" t="s">
        <v>6</v>
      </c>
      <c r="G34" s="221" t="s">
        <v>32</v>
      </c>
      <c r="I34" s="227"/>
      <c r="J34" s="229" t="s">
        <v>86</v>
      </c>
      <c r="K34" s="99" t="s">
        <v>11</v>
      </c>
      <c r="L34" s="216" t="s">
        <v>13</v>
      </c>
      <c r="M34" s="230"/>
      <c r="N34" s="231" t="s">
        <v>6</v>
      </c>
      <c r="O34" s="221" t="s">
        <v>32</v>
      </c>
    </row>
    <row r="35" spans="1:15" ht="15.75" thickBot="1">
      <c r="A35" s="228"/>
      <c r="B35" s="380">
        <v>0.3</v>
      </c>
      <c r="C35" s="376">
        <v>0.6</v>
      </c>
      <c r="D35" s="375">
        <v>1</v>
      </c>
      <c r="E35" s="375"/>
      <c r="F35" s="375">
        <v>25</v>
      </c>
      <c r="G35" s="262">
        <f>B35*C35*F35</f>
        <v>4.5</v>
      </c>
      <c r="I35" s="228"/>
      <c r="J35" s="380">
        <v>0.3</v>
      </c>
      <c r="K35" s="376">
        <v>0.5</v>
      </c>
      <c r="L35" s="376">
        <v>1</v>
      </c>
      <c r="M35" s="376"/>
      <c r="N35" s="376">
        <v>25</v>
      </c>
      <c r="O35" s="67">
        <f>J35*K35*N35</f>
        <v>3.75</v>
      </c>
    </row>
    <row r="36" spans="1:15" ht="15.75" thickBot="1">
      <c r="A36" s="227"/>
      <c r="B36" s="229"/>
      <c r="C36" s="120"/>
      <c r="D36" s="261"/>
      <c r="E36" s="263" t="s">
        <v>272</v>
      </c>
      <c r="F36" s="120"/>
      <c r="G36" s="225"/>
      <c r="I36" s="227"/>
      <c r="J36" s="229"/>
      <c r="K36" s="120"/>
      <c r="L36" s="261"/>
      <c r="M36" s="260" t="s">
        <v>272</v>
      </c>
      <c r="N36" s="120"/>
      <c r="O36" s="225"/>
    </row>
    <row r="37" spans="1:15">
      <c r="A37" s="103" t="s">
        <v>271</v>
      </c>
      <c r="B37" s="51">
        <v>0.3</v>
      </c>
      <c r="C37" s="376">
        <v>1</v>
      </c>
      <c r="D37" s="379" t="s">
        <v>27</v>
      </c>
      <c r="E37" s="137">
        <f>G6</f>
        <v>2.65</v>
      </c>
      <c r="F37" s="25" t="s">
        <v>27</v>
      </c>
      <c r="G37" s="15">
        <f>B37*C37*E37</f>
        <v>0.79499999999999993</v>
      </c>
      <c r="I37" s="103" t="s">
        <v>271</v>
      </c>
      <c r="J37" s="51">
        <v>0.3</v>
      </c>
      <c r="K37" s="376">
        <v>1</v>
      </c>
      <c r="L37" s="379" t="s">
        <v>27</v>
      </c>
      <c r="M37" s="137">
        <f>G6</f>
        <v>2.65</v>
      </c>
      <c r="N37" s="25" t="s">
        <v>27</v>
      </c>
      <c r="O37" s="15">
        <f>J37*K37*M37</f>
        <v>0.79499999999999993</v>
      </c>
    </row>
    <row r="38" spans="1:15" ht="15.75" thickBot="1">
      <c r="A38" s="8" t="s">
        <v>7</v>
      </c>
      <c r="B38" s="9"/>
      <c r="C38" s="9"/>
      <c r="D38" s="9"/>
      <c r="E38" s="9"/>
      <c r="F38" s="9"/>
      <c r="G38" s="268">
        <f>G35-G37</f>
        <v>3.7050000000000001</v>
      </c>
      <c r="I38" s="8" t="s">
        <v>7</v>
      </c>
      <c r="J38" s="9"/>
      <c r="K38" s="9"/>
      <c r="L38" s="9"/>
      <c r="M38" s="9"/>
      <c r="N38" s="9"/>
      <c r="O38" s="264">
        <f>O35-O37</f>
        <v>2.9550000000000001</v>
      </c>
    </row>
    <row r="40" spans="1:15" ht="15.75" thickBot="1">
      <c r="A40" s="456" t="s">
        <v>396</v>
      </c>
      <c r="B40" s="457"/>
      <c r="C40" s="457"/>
      <c r="D40" s="457"/>
      <c r="E40" s="457"/>
      <c r="F40" s="457"/>
      <c r="G40" s="460"/>
      <c r="I40" s="291"/>
      <c r="J40" s="50"/>
      <c r="K40" s="50"/>
      <c r="L40" s="50"/>
      <c r="M40" s="50"/>
      <c r="N40" s="50"/>
      <c r="O40" s="50"/>
    </row>
    <row r="41" spans="1:15" ht="18" thickBot="1">
      <c r="A41" s="227"/>
      <c r="B41" s="229" t="s">
        <v>11</v>
      </c>
      <c r="C41" s="99" t="s">
        <v>86</v>
      </c>
      <c r="D41" s="216" t="s">
        <v>13</v>
      </c>
      <c r="E41" s="230"/>
      <c r="F41" s="231" t="s">
        <v>6</v>
      </c>
      <c r="G41" s="221" t="s">
        <v>32</v>
      </c>
      <c r="I41" s="50"/>
      <c r="J41" s="11"/>
      <c r="K41" s="11"/>
      <c r="L41" s="12"/>
      <c r="M41" s="50"/>
      <c r="N41" s="50"/>
      <c r="O41" s="49"/>
    </row>
    <row r="42" spans="1:15" ht="15.75" thickBot="1">
      <c r="A42" s="228"/>
      <c r="B42" s="376">
        <v>0.22</v>
      </c>
      <c r="C42" s="376">
        <v>0.7</v>
      </c>
      <c r="D42" s="376">
        <v>1</v>
      </c>
      <c r="E42" s="376"/>
      <c r="F42" s="376">
        <v>25</v>
      </c>
      <c r="G42" s="67">
        <f>B42*C42*D42*F42</f>
        <v>3.85</v>
      </c>
      <c r="I42" s="50"/>
      <c r="J42" s="11"/>
      <c r="K42" s="11"/>
      <c r="L42" s="11"/>
      <c r="M42" s="11"/>
      <c r="N42" s="11"/>
      <c r="O42" s="11"/>
    </row>
    <row r="43" spans="1:15" ht="15.75" thickBot="1">
      <c r="A43" s="227"/>
      <c r="B43" s="229"/>
      <c r="C43" s="120"/>
      <c r="D43" s="261"/>
      <c r="E43" s="263" t="s">
        <v>272</v>
      </c>
      <c r="F43" s="120"/>
      <c r="G43" s="225"/>
      <c r="I43" s="50"/>
      <c r="J43" s="11"/>
      <c r="K43" s="11"/>
      <c r="L43" s="290"/>
      <c r="M43" s="290"/>
      <c r="N43" s="11"/>
      <c r="O43" s="11"/>
    </row>
    <row r="44" spans="1:15">
      <c r="A44" s="103" t="s">
        <v>271</v>
      </c>
      <c r="B44" s="51">
        <v>0.3</v>
      </c>
      <c r="C44" s="376">
        <v>1</v>
      </c>
      <c r="D44" s="379" t="s">
        <v>27</v>
      </c>
      <c r="E44" s="137">
        <f>G6</f>
        <v>2.65</v>
      </c>
      <c r="F44" s="25" t="s">
        <v>27</v>
      </c>
      <c r="G44" s="267">
        <f>B44*C44*E44</f>
        <v>0.79499999999999993</v>
      </c>
      <c r="I44" s="11"/>
      <c r="J44" s="11"/>
      <c r="K44" s="11"/>
      <c r="L44" s="11"/>
      <c r="M44" s="11"/>
      <c r="N44" s="11"/>
      <c r="O44" s="11"/>
    </row>
    <row r="45" spans="1:15" ht="15.75" thickBot="1">
      <c r="A45" s="8" t="s">
        <v>7</v>
      </c>
      <c r="B45" s="9"/>
      <c r="C45" s="9"/>
      <c r="D45" s="9"/>
      <c r="E45" s="9"/>
      <c r="F45" s="9"/>
      <c r="G45" s="268">
        <f>G42-G44</f>
        <v>3.0550000000000002</v>
      </c>
      <c r="I45" s="11"/>
      <c r="J45" s="12"/>
      <c r="K45" s="12"/>
      <c r="L45" s="12"/>
      <c r="M45" s="12"/>
      <c r="N45" s="12"/>
      <c r="O45" s="11"/>
    </row>
    <row r="46" spans="1:15">
      <c r="A46" s="50"/>
      <c r="B46" s="383"/>
      <c r="C46" s="383"/>
      <c r="D46" s="383"/>
      <c r="E46" s="383"/>
      <c r="F46" s="383"/>
      <c r="G46" s="11"/>
    </row>
    <row r="47" spans="1:15" ht="21">
      <c r="A47" s="444" t="s">
        <v>270</v>
      </c>
      <c r="B47" s="445"/>
      <c r="C47" s="445"/>
      <c r="D47" s="445"/>
      <c r="E47" s="445"/>
      <c r="F47" s="445"/>
      <c r="G47" s="445"/>
      <c r="H47" s="445"/>
      <c r="I47" s="445"/>
      <c r="J47" s="445"/>
      <c r="K47" s="446"/>
    </row>
    <row r="48" spans="1:15" ht="18">
      <c r="A48" s="115"/>
      <c r="B48" s="377" t="s">
        <v>37</v>
      </c>
      <c r="C48" s="98" t="s">
        <v>38</v>
      </c>
      <c r="D48" s="98" t="s">
        <v>39</v>
      </c>
      <c r="E48" s="98" t="s">
        <v>40</v>
      </c>
      <c r="F48" s="98" t="s">
        <v>41</v>
      </c>
      <c r="G48" s="98" t="s">
        <v>42</v>
      </c>
      <c r="H48" s="98" t="s">
        <v>43</v>
      </c>
      <c r="I48" s="101" t="s">
        <v>57</v>
      </c>
      <c r="J48" s="101" t="s">
        <v>56</v>
      </c>
      <c r="K48" s="98" t="s">
        <v>55</v>
      </c>
    </row>
    <row r="49" spans="1:21" ht="17.25">
      <c r="A49" s="245" t="s">
        <v>273</v>
      </c>
      <c r="B49" s="7">
        <f>G6+G11</f>
        <v>4.09</v>
      </c>
      <c r="C49" s="375">
        <v>1.2</v>
      </c>
      <c r="D49" s="375">
        <v>2</v>
      </c>
      <c r="E49" s="7">
        <f>1.3*B49</f>
        <v>5.3170000000000002</v>
      </c>
      <c r="F49" s="375">
        <f>1.5*C49</f>
        <v>1.7999999999999998</v>
      </c>
      <c r="G49" s="375">
        <f>1.5*D49</f>
        <v>3</v>
      </c>
      <c r="H49" s="22">
        <f>E49+G49+F49</f>
        <v>10.117000000000001</v>
      </c>
      <c r="I49" s="375">
        <v>0.3</v>
      </c>
      <c r="J49" s="375">
        <f>I49*D49</f>
        <v>0.6</v>
      </c>
      <c r="K49" s="26">
        <f>(B49+C49)+J49</f>
        <v>5.89</v>
      </c>
    </row>
    <row r="50" spans="1:21" ht="17.25">
      <c r="A50" s="245" t="s">
        <v>274</v>
      </c>
      <c r="B50" s="1">
        <f>G19+G24</f>
        <v>4.21</v>
      </c>
      <c r="C50" s="1" t="s">
        <v>27</v>
      </c>
      <c r="D50" s="1">
        <v>4</v>
      </c>
      <c r="E50" s="29">
        <f>1.3*B50</f>
        <v>5.4729999999999999</v>
      </c>
      <c r="F50" s="1" t="s">
        <v>27</v>
      </c>
      <c r="G50" s="1">
        <f>1.5*D50</f>
        <v>6</v>
      </c>
      <c r="H50" s="23">
        <f>E50+G50</f>
        <v>11.472999999999999</v>
      </c>
      <c r="I50" s="1">
        <v>0.6</v>
      </c>
      <c r="J50" s="1">
        <f>I50*D50</f>
        <v>2.4</v>
      </c>
      <c r="K50" s="4">
        <f>B50+0.6*D50</f>
        <v>6.6099999999999994</v>
      </c>
    </row>
    <row r="51" spans="1:21">
      <c r="A51" s="245" t="s">
        <v>275</v>
      </c>
      <c r="B51" s="1">
        <f>G31</f>
        <v>5.7200000000000006</v>
      </c>
      <c r="C51" s="1" t="s">
        <v>27</v>
      </c>
      <c r="D51" s="1" t="s">
        <v>27</v>
      </c>
      <c r="E51" s="29">
        <f>1.3*B51</f>
        <v>7.4360000000000008</v>
      </c>
      <c r="F51" s="56" t="s">
        <v>27</v>
      </c>
      <c r="G51" s="56" t="s">
        <v>27</v>
      </c>
      <c r="H51" s="265">
        <f>E51</f>
        <v>7.4360000000000008</v>
      </c>
      <c r="I51" s="1" t="s">
        <v>27</v>
      </c>
      <c r="J51" s="1" t="s">
        <v>27</v>
      </c>
      <c r="K51" s="27">
        <f>B51</f>
        <v>5.7200000000000006</v>
      </c>
    </row>
    <row r="52" spans="1:21">
      <c r="A52" s="245" t="s">
        <v>276</v>
      </c>
      <c r="B52" s="29">
        <f>G45</f>
        <v>3.0550000000000002</v>
      </c>
      <c r="C52" s="1" t="s">
        <v>27</v>
      </c>
      <c r="D52" s="1" t="s">
        <v>27</v>
      </c>
      <c r="E52" s="1">
        <f>1.3*B52</f>
        <v>3.9715000000000003</v>
      </c>
      <c r="F52" s="20" t="s">
        <v>27</v>
      </c>
      <c r="G52" s="20" t="s">
        <v>27</v>
      </c>
      <c r="H52" s="24">
        <f>E52</f>
        <v>3.9715000000000003</v>
      </c>
      <c r="I52" s="20" t="s">
        <v>27</v>
      </c>
      <c r="J52" s="1" t="s">
        <v>27</v>
      </c>
      <c r="K52" s="27">
        <f>B52</f>
        <v>3.0550000000000002</v>
      </c>
    </row>
    <row r="53" spans="1:21">
      <c r="A53" s="245" t="s">
        <v>279</v>
      </c>
      <c r="B53" s="29">
        <f>O38</f>
        <v>2.9550000000000001</v>
      </c>
      <c r="C53" s="1" t="s">
        <v>27</v>
      </c>
      <c r="D53" s="1" t="s">
        <v>27</v>
      </c>
      <c r="E53" s="29">
        <f>B53*1.3</f>
        <v>3.8415000000000004</v>
      </c>
      <c r="F53" s="20" t="s">
        <v>27</v>
      </c>
      <c r="G53" s="20" t="s">
        <v>27</v>
      </c>
      <c r="H53" s="265">
        <f>E53</f>
        <v>3.8415000000000004</v>
      </c>
      <c r="I53" s="20" t="s">
        <v>27</v>
      </c>
      <c r="J53" s="1" t="s">
        <v>27</v>
      </c>
      <c r="K53" s="266">
        <f>B53</f>
        <v>2.9550000000000001</v>
      </c>
    </row>
    <row r="54" spans="1:21">
      <c r="A54" s="245" t="s">
        <v>277</v>
      </c>
      <c r="B54" s="29">
        <f>G38</f>
        <v>3.7050000000000001</v>
      </c>
      <c r="C54" s="29" t="s">
        <v>27</v>
      </c>
      <c r="D54" s="29" t="s">
        <v>27</v>
      </c>
      <c r="E54" s="29">
        <f>1.3*B54</f>
        <v>4.8165000000000004</v>
      </c>
      <c r="F54" s="20" t="s">
        <v>27</v>
      </c>
      <c r="G54" s="20" t="s">
        <v>27</v>
      </c>
      <c r="H54" s="265">
        <f>E54</f>
        <v>4.8165000000000004</v>
      </c>
      <c r="I54" s="20" t="s">
        <v>27</v>
      </c>
      <c r="J54" s="1" t="s">
        <v>27</v>
      </c>
      <c r="K54" s="266">
        <f>B54</f>
        <v>3.7050000000000001</v>
      </c>
    </row>
    <row r="55" spans="1:21" ht="17.25">
      <c r="A55" s="245" t="s">
        <v>278</v>
      </c>
      <c r="B55" s="2">
        <v>4.8</v>
      </c>
      <c r="C55" s="2" t="s">
        <v>27</v>
      </c>
      <c r="D55" s="2">
        <v>4</v>
      </c>
      <c r="E55" s="2">
        <f>1.3*B55</f>
        <v>6.24</v>
      </c>
      <c r="F55" s="21" t="s">
        <v>27</v>
      </c>
      <c r="G55" s="21">
        <f>D55*1.5</f>
        <v>6</v>
      </c>
      <c r="H55" s="25">
        <f>E55+G55</f>
        <v>12.24</v>
      </c>
      <c r="I55" s="2">
        <v>0.6</v>
      </c>
      <c r="J55" s="2">
        <f>I55*D55</f>
        <v>2.4</v>
      </c>
      <c r="K55" s="28">
        <f>B55+J55</f>
        <v>7.1999999999999993</v>
      </c>
    </row>
    <row r="57" spans="1:21" ht="15.75" thickBot="1"/>
    <row r="58" spans="1:21" ht="15.75" thickBot="1">
      <c r="A58" s="454" t="s">
        <v>411</v>
      </c>
      <c r="B58" s="455"/>
      <c r="C58" s="456" t="s">
        <v>44</v>
      </c>
      <c r="D58" s="457"/>
      <c r="E58" s="457"/>
      <c r="F58" s="457"/>
      <c r="G58" s="457"/>
      <c r="H58" s="457"/>
      <c r="I58" s="114"/>
      <c r="J58" s="114"/>
      <c r="K58" s="114"/>
      <c r="L58" s="114"/>
      <c r="M58" s="237"/>
      <c r="O58" s="238" t="s">
        <v>62</v>
      </c>
      <c r="P58" s="239"/>
      <c r="Q58" s="239"/>
      <c r="R58" s="240" t="s">
        <v>85</v>
      </c>
      <c r="S58" s="241"/>
      <c r="T58" s="12"/>
      <c r="U58" s="12"/>
    </row>
    <row r="59" spans="1:21" ht="18">
      <c r="A59" s="233"/>
      <c r="B59" s="235" t="s">
        <v>18</v>
      </c>
      <c r="C59" s="236" t="s">
        <v>19</v>
      </c>
      <c r="D59" s="103" t="s">
        <v>20</v>
      </c>
      <c r="E59" s="103" t="s">
        <v>21</v>
      </c>
      <c r="F59" s="103" t="s">
        <v>121</v>
      </c>
      <c r="G59" s="103" t="s">
        <v>92</v>
      </c>
      <c r="H59" s="103" t="s">
        <v>24</v>
      </c>
      <c r="I59" s="226" t="s">
        <v>43</v>
      </c>
      <c r="J59" s="226" t="s">
        <v>65</v>
      </c>
      <c r="K59" s="226" t="s">
        <v>59</v>
      </c>
      <c r="L59" s="226" t="s">
        <v>57</v>
      </c>
      <c r="M59" s="226" t="s">
        <v>55</v>
      </c>
      <c r="O59" s="243"/>
      <c r="P59" s="244"/>
      <c r="Q59" s="103" t="s">
        <v>69</v>
      </c>
      <c r="R59" s="103" t="s">
        <v>66</v>
      </c>
      <c r="S59" s="103" t="s">
        <v>67</v>
      </c>
      <c r="T59" s="11"/>
      <c r="U59" s="11"/>
    </row>
    <row r="60" spans="1:21">
      <c r="A60" s="216" t="s">
        <v>17</v>
      </c>
      <c r="B60" s="375">
        <v>1</v>
      </c>
      <c r="C60" s="375" t="s">
        <v>27</v>
      </c>
      <c r="D60" s="375">
        <v>4.5999999999999996</v>
      </c>
      <c r="E60" s="375" t="s">
        <v>27</v>
      </c>
      <c r="F60" s="69">
        <f>B60*(D60/2)</f>
        <v>2.2999999999999998</v>
      </c>
      <c r="G60" s="7">
        <f>(E49+F49)*F60</f>
        <v>16.3691</v>
      </c>
      <c r="H60" s="375">
        <f>G49*F60</f>
        <v>6.8999999999999995</v>
      </c>
      <c r="I60" s="7">
        <f>G60+H60</f>
        <v>23.269099999999998</v>
      </c>
      <c r="J60" s="7">
        <f>(B49+C49)*F60</f>
        <v>12.167</v>
      </c>
      <c r="K60" s="375">
        <f>D49*F60</f>
        <v>4.5999999999999996</v>
      </c>
      <c r="L60" s="375">
        <v>0.3</v>
      </c>
      <c r="M60" s="7">
        <f>J60+L60*K60</f>
        <v>13.547000000000001</v>
      </c>
      <c r="O60" s="216" t="s">
        <v>60</v>
      </c>
      <c r="P60" s="216"/>
      <c r="Q60" s="34">
        <f>I64*(S60)^2/10</f>
        <v>111.57900759999998</v>
      </c>
      <c r="R60" s="376">
        <v>1.7000000000000001E-2</v>
      </c>
      <c r="S60" s="376">
        <v>4.5999999999999996</v>
      </c>
      <c r="T60" s="11"/>
      <c r="U60" s="53"/>
    </row>
    <row r="61" spans="1:21">
      <c r="A61" s="216" t="s">
        <v>22</v>
      </c>
      <c r="B61" s="3" t="s">
        <v>27</v>
      </c>
      <c r="C61" s="1" t="s">
        <v>27</v>
      </c>
      <c r="D61" s="4" t="s">
        <v>27</v>
      </c>
      <c r="E61" s="1">
        <v>1.5</v>
      </c>
      <c r="F61" s="20">
        <f>E61</f>
        <v>1.5</v>
      </c>
      <c r="G61" s="29">
        <f>E50*F61</f>
        <v>8.2095000000000002</v>
      </c>
      <c r="H61" s="1">
        <f>G50*F61</f>
        <v>9</v>
      </c>
      <c r="I61" s="29">
        <f>G61+H61</f>
        <v>17.209499999999998</v>
      </c>
      <c r="J61" s="29">
        <f>B50*F61</f>
        <v>6.3149999999999995</v>
      </c>
      <c r="K61" s="1">
        <f>D50*F61</f>
        <v>6</v>
      </c>
      <c r="L61" s="1">
        <v>0.6</v>
      </c>
      <c r="M61" s="29">
        <f>J61+L61*K61</f>
        <v>9.9149999999999991</v>
      </c>
      <c r="O61" s="245" t="s">
        <v>61</v>
      </c>
      <c r="P61" s="216"/>
      <c r="Q61" s="35">
        <f>M64*S61^2/10</f>
        <v>69.588891999999987</v>
      </c>
      <c r="R61" s="376">
        <v>1.7000000000000001E-2</v>
      </c>
      <c r="S61" s="376">
        <v>4.5999999999999996</v>
      </c>
      <c r="T61" s="11"/>
      <c r="U61" s="53"/>
    </row>
    <row r="62" spans="1:21">
      <c r="A62" s="216" t="s">
        <v>45</v>
      </c>
      <c r="B62" s="1" t="s">
        <v>27</v>
      </c>
      <c r="C62" s="1" t="s">
        <v>27</v>
      </c>
      <c r="D62" s="1" t="s">
        <v>27</v>
      </c>
      <c r="E62" s="1" t="s">
        <v>27</v>
      </c>
      <c r="F62" s="1" t="s">
        <v>27</v>
      </c>
      <c r="G62" s="29">
        <f>E51</f>
        <v>7.4360000000000008</v>
      </c>
      <c r="H62" s="1" t="s">
        <v>27</v>
      </c>
      <c r="I62" s="29">
        <f>G62</f>
        <v>7.4360000000000008</v>
      </c>
      <c r="J62" s="20">
        <f>B51</f>
        <v>5.7200000000000006</v>
      </c>
      <c r="K62" s="20" t="s">
        <v>27</v>
      </c>
      <c r="L62" s="20" t="s">
        <v>27</v>
      </c>
      <c r="M62" s="29">
        <f>J62</f>
        <v>5.7200000000000006</v>
      </c>
    </row>
    <row r="63" spans="1:21" ht="15.75" thickBot="1">
      <c r="A63" s="234" t="s">
        <v>25</v>
      </c>
      <c r="B63" s="1" t="s">
        <v>27</v>
      </c>
      <c r="C63" s="1" t="s">
        <v>27</v>
      </c>
      <c r="D63" s="1" t="s">
        <v>27</v>
      </c>
      <c r="E63" s="1" t="s">
        <v>27</v>
      </c>
      <c r="F63" s="1" t="s">
        <v>27</v>
      </c>
      <c r="G63" s="29">
        <f>E54</f>
        <v>4.8165000000000004</v>
      </c>
      <c r="H63" s="1" t="s">
        <v>27</v>
      </c>
      <c r="I63" s="29">
        <f>G63</f>
        <v>4.8165000000000004</v>
      </c>
      <c r="J63" s="20">
        <f>B54</f>
        <v>3.7050000000000001</v>
      </c>
      <c r="K63" s="20" t="s">
        <v>27</v>
      </c>
      <c r="L63" s="20" t="s">
        <v>27</v>
      </c>
      <c r="M63" s="29">
        <f>J63</f>
        <v>3.7050000000000001</v>
      </c>
    </row>
    <row r="64" spans="1:21" ht="15.75" thickBot="1">
      <c r="A64" s="18" t="s">
        <v>7</v>
      </c>
      <c r="B64" s="9"/>
      <c r="C64" s="9"/>
      <c r="D64" s="9"/>
      <c r="E64" s="9"/>
      <c r="F64" s="9"/>
      <c r="G64" s="9"/>
      <c r="H64" s="9"/>
      <c r="I64" s="32">
        <f>SUM(I60:I63)</f>
        <v>52.731099999999998</v>
      </c>
      <c r="J64" s="9"/>
      <c r="K64" s="9"/>
      <c r="L64" s="9"/>
      <c r="M64" s="32">
        <f>SUM(M60:M63)</f>
        <v>32.887</v>
      </c>
      <c r="N64" s="232" t="s">
        <v>68</v>
      </c>
    </row>
    <row r="66" spans="1:22" ht="15.75" thickBot="1"/>
    <row r="67" spans="1:22" ht="15.75" thickBot="1">
      <c r="A67" s="454" t="s">
        <v>412</v>
      </c>
      <c r="B67" s="455"/>
      <c r="C67" s="456" t="s">
        <v>63</v>
      </c>
      <c r="D67" s="457"/>
      <c r="E67" s="457"/>
      <c r="F67" s="457"/>
      <c r="G67" s="457"/>
      <c r="H67" s="457"/>
      <c r="I67" s="114"/>
      <c r="J67" s="114"/>
      <c r="K67" s="114"/>
      <c r="L67" s="114"/>
      <c r="M67" s="237"/>
      <c r="O67" s="238" t="s">
        <v>70</v>
      </c>
      <c r="P67" s="239"/>
      <c r="Q67" s="239"/>
      <c r="R67" s="240" t="s">
        <v>71</v>
      </c>
      <c r="S67" s="239"/>
      <c r="T67" s="239"/>
      <c r="U67" s="239"/>
      <c r="V67" s="242"/>
    </row>
    <row r="68" spans="1:22" ht="18">
      <c r="A68" s="233"/>
      <c r="B68" s="235" t="s">
        <v>18</v>
      </c>
      <c r="C68" s="236" t="s">
        <v>19</v>
      </c>
      <c r="D68" s="103" t="s">
        <v>64</v>
      </c>
      <c r="E68" s="103" t="s">
        <v>21</v>
      </c>
      <c r="F68" s="103" t="s">
        <v>121</v>
      </c>
      <c r="G68" s="103" t="s">
        <v>23</v>
      </c>
      <c r="H68" s="103" t="s">
        <v>24</v>
      </c>
      <c r="I68" s="226" t="s">
        <v>43</v>
      </c>
      <c r="J68" s="226" t="s">
        <v>58</v>
      </c>
      <c r="K68" s="226" t="s">
        <v>59</v>
      </c>
      <c r="L68" s="226" t="s">
        <v>57</v>
      </c>
      <c r="M68" s="226" t="s">
        <v>55</v>
      </c>
      <c r="O68" s="243"/>
      <c r="P68" s="244"/>
      <c r="Q68" s="103" t="s">
        <v>69</v>
      </c>
      <c r="R68" s="103" t="s">
        <v>114</v>
      </c>
      <c r="S68" s="103" t="s">
        <v>67</v>
      </c>
      <c r="T68" s="103" t="s">
        <v>73</v>
      </c>
      <c r="U68" s="103" t="s">
        <v>74</v>
      </c>
      <c r="V68" s="103" t="s">
        <v>72</v>
      </c>
    </row>
    <row r="69" spans="1:22">
      <c r="A69" s="216" t="s">
        <v>17</v>
      </c>
      <c r="B69" s="375">
        <v>1</v>
      </c>
      <c r="C69" s="375" t="s">
        <v>27</v>
      </c>
      <c r="D69" s="375">
        <v>3.6</v>
      </c>
      <c r="E69" s="375">
        <v>1.5</v>
      </c>
      <c r="F69" s="69">
        <f>B69*(D69/2)</f>
        <v>1.8</v>
      </c>
      <c r="G69" s="30">
        <f>F69*(E49+F49)</f>
        <v>12.810600000000001</v>
      </c>
      <c r="H69" s="375">
        <f>G49*F69</f>
        <v>5.4</v>
      </c>
      <c r="I69" s="30">
        <f>G69+H69</f>
        <v>18.210599999999999</v>
      </c>
      <c r="J69" s="7">
        <f>(B49+C49)*F69</f>
        <v>9.5220000000000002</v>
      </c>
      <c r="K69" s="375">
        <f>D49*F69</f>
        <v>3.6</v>
      </c>
      <c r="L69" s="375">
        <v>0.3</v>
      </c>
      <c r="M69" s="375">
        <f>J69+L69*K69</f>
        <v>10.602</v>
      </c>
      <c r="O69" s="243" t="s">
        <v>60</v>
      </c>
      <c r="P69" s="244"/>
      <c r="Q69" s="36">
        <f>I73*S69^2/10</f>
        <v>51.0515136</v>
      </c>
      <c r="R69" s="376">
        <v>0.02</v>
      </c>
      <c r="S69" s="376">
        <v>3.6</v>
      </c>
      <c r="T69" s="376">
        <f>B42-U69</f>
        <v>0.18</v>
      </c>
      <c r="U69" s="376">
        <v>0.04</v>
      </c>
      <c r="V69" s="37">
        <f>(R69^2*Q69)/(T69)^2</f>
        <v>0.63026559999999998</v>
      </c>
    </row>
    <row r="70" spans="1:22">
      <c r="A70" s="216" t="s">
        <v>22</v>
      </c>
      <c r="B70" s="1" t="s">
        <v>27</v>
      </c>
      <c r="C70" s="1" t="s">
        <v>27</v>
      </c>
      <c r="D70" s="1">
        <v>3.6</v>
      </c>
      <c r="E70" s="1">
        <v>1.5</v>
      </c>
      <c r="F70" s="20">
        <f>E70</f>
        <v>1.5</v>
      </c>
      <c r="G70" s="31">
        <f>F70*(E50)</f>
        <v>8.2095000000000002</v>
      </c>
      <c r="H70" s="1">
        <f>G50*F70</f>
        <v>9</v>
      </c>
      <c r="I70" s="31">
        <f>G70+H70</f>
        <v>17.209499999999998</v>
      </c>
      <c r="J70" s="29">
        <f>B50*F70</f>
        <v>6.3149999999999995</v>
      </c>
      <c r="K70" s="1">
        <f>D50*F70</f>
        <v>6</v>
      </c>
      <c r="L70" s="1">
        <v>0.6</v>
      </c>
      <c r="M70" s="1">
        <f>J70+L70*K70</f>
        <v>9.9149999999999991</v>
      </c>
      <c r="O70" s="246" t="s">
        <v>61</v>
      </c>
      <c r="P70" s="244"/>
      <c r="Q70" s="37">
        <f>M73*S70^2/10</f>
        <v>30.549312000000004</v>
      </c>
      <c r="R70" s="376">
        <v>0.02</v>
      </c>
      <c r="S70" s="376">
        <v>3.6</v>
      </c>
      <c r="T70" s="376">
        <f>B42-U70</f>
        <v>0.18</v>
      </c>
      <c r="U70" s="376">
        <v>0.04</v>
      </c>
      <c r="V70" s="37">
        <f>(R70^2*Q70)/(T70)^2</f>
        <v>0.37715200000000004</v>
      </c>
    </row>
    <row r="71" spans="1:22">
      <c r="A71" s="216" t="s">
        <v>45</v>
      </c>
      <c r="B71" s="1" t="s">
        <v>27</v>
      </c>
      <c r="C71" s="1" t="s">
        <v>27</v>
      </c>
      <c r="D71" s="1" t="s">
        <v>27</v>
      </c>
      <c r="E71" s="20" t="s">
        <v>27</v>
      </c>
      <c r="F71" s="20" t="s">
        <v>27</v>
      </c>
      <c r="G71" s="31">
        <v>0</v>
      </c>
      <c r="H71" s="20" t="s">
        <v>27</v>
      </c>
      <c r="I71" s="31">
        <f>G71</f>
        <v>0</v>
      </c>
      <c r="J71" s="29">
        <v>0</v>
      </c>
      <c r="K71" s="1" t="s">
        <v>27</v>
      </c>
      <c r="L71" s="20" t="s">
        <v>27</v>
      </c>
      <c r="M71" s="29">
        <f>J71</f>
        <v>0</v>
      </c>
    </row>
    <row r="72" spans="1:22" ht="15.75" thickBot="1">
      <c r="A72" s="234" t="s">
        <v>25</v>
      </c>
      <c r="B72" s="1" t="s">
        <v>27</v>
      </c>
      <c r="C72" s="1" t="s">
        <v>27</v>
      </c>
      <c r="D72" s="1" t="s">
        <v>27</v>
      </c>
      <c r="E72" s="20" t="s">
        <v>27</v>
      </c>
      <c r="F72" s="20" t="s">
        <v>27</v>
      </c>
      <c r="G72" s="31">
        <f>E52</f>
        <v>3.9715000000000003</v>
      </c>
      <c r="H72" s="20" t="s">
        <v>27</v>
      </c>
      <c r="I72" s="31">
        <f>G72</f>
        <v>3.9715000000000003</v>
      </c>
      <c r="J72" s="29">
        <f>B52</f>
        <v>3.0550000000000002</v>
      </c>
      <c r="K72" s="1" t="s">
        <v>27</v>
      </c>
      <c r="L72" s="20" t="s">
        <v>27</v>
      </c>
      <c r="M72" s="29">
        <f>J72</f>
        <v>3.0550000000000002</v>
      </c>
    </row>
    <row r="73" spans="1:22" ht="15.75" thickBot="1">
      <c r="A73" s="18" t="s">
        <v>7</v>
      </c>
      <c r="B73" s="9"/>
      <c r="C73" s="9"/>
      <c r="D73" s="9"/>
      <c r="E73" s="9"/>
      <c r="F73" s="9"/>
      <c r="G73" s="9"/>
      <c r="H73" s="9"/>
      <c r="I73" s="33">
        <f>SUM(I69:I72)</f>
        <v>39.391599999999997</v>
      </c>
      <c r="J73" s="9"/>
      <c r="K73" s="9"/>
      <c r="L73" s="9"/>
      <c r="M73" s="32">
        <f>SUM(M69:M72)</f>
        <v>23.571999999999999</v>
      </c>
      <c r="N73" s="232" t="s">
        <v>68</v>
      </c>
    </row>
    <row r="75" spans="1:22" ht="15.75" thickBot="1">
      <c r="A75" s="456" t="s">
        <v>122</v>
      </c>
      <c r="B75" s="468"/>
      <c r="C75" s="468"/>
      <c r="D75" s="468"/>
      <c r="E75" s="468"/>
      <c r="F75" s="469"/>
      <c r="H75" s="456" t="s">
        <v>280</v>
      </c>
      <c r="I75" s="468"/>
      <c r="J75" s="468"/>
      <c r="K75" s="468"/>
      <c r="L75" s="468"/>
      <c r="M75" s="469"/>
      <c r="O75" s="456" t="s">
        <v>122</v>
      </c>
      <c r="P75" s="468"/>
      <c r="Q75" s="468"/>
      <c r="R75" s="468"/>
      <c r="S75" s="468"/>
      <c r="T75" s="469"/>
    </row>
    <row r="76" spans="1:22" ht="18" thickBot="1">
      <c r="A76" s="102" t="s">
        <v>281</v>
      </c>
      <c r="B76" s="229" t="s">
        <v>86</v>
      </c>
      <c r="C76" s="99" t="s">
        <v>11</v>
      </c>
      <c r="D76" s="99" t="s">
        <v>123</v>
      </c>
      <c r="E76" s="120" t="s">
        <v>6</v>
      </c>
      <c r="F76" s="221" t="s">
        <v>32</v>
      </c>
      <c r="H76" s="102" t="s">
        <v>282</v>
      </c>
      <c r="I76" s="229" t="s">
        <v>86</v>
      </c>
      <c r="J76" s="99" t="s">
        <v>11</v>
      </c>
      <c r="K76" s="99" t="s">
        <v>123</v>
      </c>
      <c r="L76" s="120" t="s">
        <v>6</v>
      </c>
      <c r="M76" s="221" t="s">
        <v>32</v>
      </c>
      <c r="O76" s="102" t="s">
        <v>283</v>
      </c>
      <c r="P76" s="229" t="s">
        <v>86</v>
      </c>
      <c r="Q76" s="99" t="s">
        <v>11</v>
      </c>
      <c r="R76" s="99" t="s">
        <v>123</v>
      </c>
      <c r="S76" s="120" t="s">
        <v>6</v>
      </c>
      <c r="T76" s="221" t="s">
        <v>32</v>
      </c>
    </row>
    <row r="77" spans="1:22">
      <c r="A77" s="228"/>
      <c r="B77" s="15">
        <v>0.3</v>
      </c>
      <c r="C77" s="15">
        <v>0.7</v>
      </c>
      <c r="D77" s="15">
        <f>3.7-0.6</f>
        <v>3.1</v>
      </c>
      <c r="E77" s="15">
        <v>25</v>
      </c>
      <c r="F77" s="70">
        <f>B77*C77*D77*E77</f>
        <v>16.275000000000002</v>
      </c>
      <c r="G77" s="50"/>
      <c r="H77" s="228"/>
      <c r="I77" s="15">
        <v>0.3</v>
      </c>
      <c r="J77" s="15">
        <v>0.7</v>
      </c>
      <c r="K77" s="15">
        <f>3.2-0.6</f>
        <v>2.6</v>
      </c>
      <c r="L77" s="15">
        <v>25</v>
      </c>
      <c r="M77" s="70">
        <f>I77*J77*K77*L77</f>
        <v>13.65</v>
      </c>
      <c r="O77" s="228"/>
      <c r="P77" s="15">
        <v>0.3</v>
      </c>
      <c r="Q77" s="15">
        <v>0.7</v>
      </c>
      <c r="R77" s="15">
        <f>3.2-0.5</f>
        <v>2.7</v>
      </c>
      <c r="S77" s="15">
        <v>25</v>
      </c>
      <c r="T77" s="70">
        <f>P77*Q77*R77*S77</f>
        <v>14.175000000000001</v>
      </c>
    </row>
    <row r="78" spans="1:22" ht="15.75" thickBot="1">
      <c r="A78" s="50"/>
      <c r="B78" s="11"/>
      <c r="C78" s="11"/>
      <c r="D78" s="12"/>
      <c r="E78" s="50"/>
      <c r="F78" s="50"/>
      <c r="G78" s="49"/>
    </row>
    <row r="79" spans="1:22" ht="15.75" thickBot="1">
      <c r="A79" s="452" t="s">
        <v>413</v>
      </c>
      <c r="B79" s="453"/>
      <c r="C79" s="12"/>
      <c r="D79" s="12"/>
      <c r="E79" s="12"/>
      <c r="F79" s="12"/>
      <c r="G79" s="12"/>
      <c r="H79" s="12"/>
      <c r="I79" s="12"/>
      <c r="J79" s="12"/>
      <c r="K79" s="12"/>
      <c r="L79" s="12"/>
    </row>
    <row r="80" spans="1:22" ht="19.5" thickBot="1">
      <c r="A80" s="254"/>
      <c r="B80" s="256" t="s">
        <v>18</v>
      </c>
      <c r="C80" s="249" t="s">
        <v>19</v>
      </c>
      <c r="D80" s="257" t="s">
        <v>130</v>
      </c>
      <c r="E80" s="200" t="s">
        <v>131</v>
      </c>
      <c r="F80" s="251" t="s">
        <v>132</v>
      </c>
      <c r="G80" s="200" t="s">
        <v>119</v>
      </c>
      <c r="H80" s="219" t="s">
        <v>133</v>
      </c>
      <c r="I80" s="219" t="s">
        <v>58</v>
      </c>
      <c r="J80" s="219" t="s">
        <v>59</v>
      </c>
      <c r="K80" s="219" t="s">
        <v>57</v>
      </c>
      <c r="L80" s="219" t="s">
        <v>55</v>
      </c>
      <c r="O80" s="456" t="s">
        <v>315</v>
      </c>
      <c r="P80" s="468"/>
      <c r="Q80" s="468"/>
      <c r="R80" s="468"/>
      <c r="S80" s="468"/>
      <c r="T80" s="469"/>
    </row>
    <row r="81" spans="1:20" ht="18" thickBot="1">
      <c r="A81" s="253" t="s">
        <v>17</v>
      </c>
      <c r="B81" s="5"/>
      <c r="C81" s="59"/>
      <c r="D81" s="5"/>
      <c r="E81" s="5"/>
      <c r="F81" s="5"/>
      <c r="G81" s="69"/>
      <c r="H81" s="5"/>
      <c r="I81" s="375"/>
      <c r="J81" s="5"/>
      <c r="K81" s="5"/>
      <c r="L81" s="375"/>
      <c r="O81" s="102" t="s">
        <v>281</v>
      </c>
      <c r="P81" s="229" t="s">
        <v>86</v>
      </c>
      <c r="Q81" s="99" t="s">
        <v>11</v>
      </c>
      <c r="R81" s="99" t="s">
        <v>123</v>
      </c>
      <c r="S81" s="120" t="s">
        <v>6</v>
      </c>
      <c r="T81" s="221" t="s">
        <v>32</v>
      </c>
    </row>
    <row r="82" spans="1:20">
      <c r="A82" s="255" t="s">
        <v>124</v>
      </c>
      <c r="B82" s="1">
        <v>1</v>
      </c>
      <c r="C82" s="3">
        <v>1</v>
      </c>
      <c r="D82" s="1">
        <v>4.3</v>
      </c>
      <c r="E82" s="1" t="s">
        <v>27</v>
      </c>
      <c r="F82" s="1">
        <v>4.5999999999999996</v>
      </c>
      <c r="G82" s="20">
        <f>B82*(D82/2)+C82*(F82/2)</f>
        <v>4.4499999999999993</v>
      </c>
      <c r="H82" s="56"/>
      <c r="I82" s="1"/>
      <c r="J82" s="66"/>
      <c r="K82" s="66"/>
      <c r="L82" s="1"/>
      <c r="O82" s="228"/>
      <c r="P82" s="15">
        <v>0.3</v>
      </c>
      <c r="Q82" s="15">
        <v>0.3</v>
      </c>
      <c r="R82" s="15">
        <f>3.7-0.6</f>
        <v>3.1</v>
      </c>
      <c r="S82" s="15">
        <v>25</v>
      </c>
      <c r="T82" s="70">
        <f>P82*Q82*R82*S82</f>
        <v>6.9749999999999996</v>
      </c>
    </row>
    <row r="83" spans="1:20">
      <c r="A83" s="255" t="s">
        <v>125</v>
      </c>
      <c r="B83" s="1">
        <v>1</v>
      </c>
      <c r="C83" s="3">
        <v>1</v>
      </c>
      <c r="D83" s="1">
        <v>4.3</v>
      </c>
      <c r="E83" s="1" t="s">
        <v>27</v>
      </c>
      <c r="F83" s="1">
        <v>3.6</v>
      </c>
      <c r="G83" s="1">
        <f>B83*(D83/2)+C83*F83/2</f>
        <v>3.95</v>
      </c>
      <c r="H83" s="56"/>
      <c r="I83" s="1"/>
      <c r="J83" s="66"/>
      <c r="K83" s="66"/>
      <c r="L83" s="1"/>
    </row>
    <row r="84" spans="1:20" ht="15.75" thickBot="1">
      <c r="A84" s="72" t="s">
        <v>128</v>
      </c>
      <c r="B84" s="73"/>
      <c r="C84" s="75"/>
      <c r="D84" s="73"/>
      <c r="E84" s="73"/>
      <c r="F84" s="73"/>
      <c r="G84" s="74">
        <f>SUM(G82:G83)</f>
        <v>8.3999999999999986</v>
      </c>
      <c r="H84" s="54">
        <f>G84*H49</f>
        <v>84.982799999999997</v>
      </c>
      <c r="I84" s="74">
        <f>B49*G84</f>
        <v>34.355999999999995</v>
      </c>
      <c r="J84" s="74">
        <f>D49*G84</f>
        <v>16.799999999999997</v>
      </c>
      <c r="K84" s="74">
        <v>0.3</v>
      </c>
      <c r="L84" s="54">
        <f>I84+K84*J84</f>
        <v>39.395999999999994</v>
      </c>
      <c r="O84" s="456" t="s">
        <v>324</v>
      </c>
      <c r="P84" s="468"/>
      <c r="Q84" s="468"/>
      <c r="R84" s="468"/>
      <c r="S84" s="468"/>
      <c r="T84" s="469"/>
    </row>
    <row r="85" spans="1:20" ht="18" thickBot="1">
      <c r="A85" s="247" t="s">
        <v>22</v>
      </c>
      <c r="B85" s="66"/>
      <c r="C85" s="62"/>
      <c r="D85" s="66"/>
      <c r="E85" s="66"/>
      <c r="F85" s="66"/>
      <c r="G85" s="66"/>
      <c r="H85" s="66"/>
      <c r="I85" s="1"/>
      <c r="J85" s="1"/>
      <c r="K85" s="66"/>
      <c r="L85" s="1"/>
      <c r="O85" s="102" t="s">
        <v>282</v>
      </c>
      <c r="P85" s="229" t="s">
        <v>86</v>
      </c>
      <c r="Q85" s="99" t="s">
        <v>11</v>
      </c>
      <c r="R85" s="99" t="s">
        <v>123</v>
      </c>
      <c r="S85" s="120" t="s">
        <v>6</v>
      </c>
      <c r="T85" s="221" t="s">
        <v>32</v>
      </c>
    </row>
    <row r="86" spans="1:20">
      <c r="A86" s="255" t="s">
        <v>126</v>
      </c>
      <c r="B86" s="1">
        <v>1</v>
      </c>
      <c r="C86" s="3">
        <v>1</v>
      </c>
      <c r="D86" s="1" t="s">
        <v>27</v>
      </c>
      <c r="E86" s="1">
        <v>1.5</v>
      </c>
      <c r="F86" s="1">
        <v>3.6</v>
      </c>
      <c r="G86" s="1">
        <f>B86*E86+C86*(F86/2)</f>
        <v>3.3</v>
      </c>
      <c r="H86" s="66"/>
      <c r="I86" s="1"/>
      <c r="J86" s="1"/>
      <c r="K86" s="66"/>
      <c r="L86" s="1"/>
      <c r="O86" s="228"/>
      <c r="P86" s="15">
        <v>0.3</v>
      </c>
      <c r="Q86" s="15">
        <v>0.3</v>
      </c>
      <c r="R86" s="15">
        <f>3.2-0.6</f>
        <v>2.6</v>
      </c>
      <c r="S86" s="15">
        <v>25</v>
      </c>
      <c r="T86" s="70">
        <f>P86*Q86*R86*S86</f>
        <v>5.85</v>
      </c>
    </row>
    <row r="87" spans="1:20">
      <c r="A87" s="255" t="s">
        <v>127</v>
      </c>
      <c r="B87" s="1">
        <v>1</v>
      </c>
      <c r="C87" s="3">
        <v>1</v>
      </c>
      <c r="D87" s="1" t="s">
        <v>27</v>
      </c>
      <c r="E87" s="1">
        <v>1.5</v>
      </c>
      <c r="F87" s="1">
        <v>4.5999999999999996</v>
      </c>
      <c r="G87" s="1">
        <f>B87*E87+C87*(F87/2)</f>
        <v>3.8</v>
      </c>
      <c r="H87" s="66"/>
      <c r="I87" s="1"/>
      <c r="J87" s="1"/>
      <c r="K87" s="66"/>
      <c r="L87" s="1"/>
    </row>
    <row r="88" spans="1:20" ht="15.75" thickBot="1">
      <c r="A88" s="72" t="s">
        <v>128</v>
      </c>
      <c r="B88" s="74"/>
      <c r="C88" s="76"/>
      <c r="D88" s="74"/>
      <c r="E88" s="74"/>
      <c r="F88" s="74"/>
      <c r="G88" s="74">
        <f>SUM(G86:G87)</f>
        <v>7.1</v>
      </c>
      <c r="H88" s="54">
        <f>G88*H50</f>
        <v>81.458299999999994</v>
      </c>
      <c r="I88" s="74">
        <f>B50*G88</f>
        <v>29.890999999999998</v>
      </c>
      <c r="J88" s="74">
        <f>D50*G88</f>
        <v>28.4</v>
      </c>
      <c r="K88" s="74">
        <v>0.6</v>
      </c>
      <c r="L88" s="54">
        <f>I88+K88*J88</f>
        <v>46.930999999999997</v>
      </c>
      <c r="O88" s="456" t="s">
        <v>324</v>
      </c>
      <c r="P88" s="468"/>
      <c r="Q88" s="468"/>
      <c r="R88" s="468"/>
      <c r="S88" s="468"/>
      <c r="T88" s="469"/>
    </row>
    <row r="89" spans="1:20" ht="18" thickBot="1">
      <c r="A89" s="252" t="s">
        <v>45</v>
      </c>
      <c r="B89" s="1" t="s">
        <v>27</v>
      </c>
      <c r="C89" s="3" t="s">
        <v>27</v>
      </c>
      <c r="D89" s="1" t="s">
        <v>27</v>
      </c>
      <c r="E89" s="1" t="s">
        <v>27</v>
      </c>
      <c r="F89" s="1" t="s">
        <v>27</v>
      </c>
      <c r="G89" s="1" t="s">
        <v>27</v>
      </c>
      <c r="H89" s="1" t="s">
        <v>27</v>
      </c>
      <c r="I89" s="20" t="s">
        <v>27</v>
      </c>
      <c r="J89" s="1" t="s">
        <v>27</v>
      </c>
      <c r="K89" s="20" t="s">
        <v>27</v>
      </c>
      <c r="L89" s="1" t="s">
        <v>27</v>
      </c>
      <c r="O89" s="102" t="s">
        <v>283</v>
      </c>
      <c r="P89" s="229" t="s">
        <v>86</v>
      </c>
      <c r="Q89" s="99" t="s">
        <v>11</v>
      </c>
      <c r="R89" s="99" t="s">
        <v>123</v>
      </c>
      <c r="S89" s="120" t="s">
        <v>6</v>
      </c>
      <c r="T89" s="221" t="s">
        <v>32</v>
      </c>
    </row>
    <row r="90" spans="1:20">
      <c r="A90" s="252" t="s">
        <v>129</v>
      </c>
      <c r="B90" s="1" t="s">
        <v>27</v>
      </c>
      <c r="C90" s="3" t="s">
        <v>27</v>
      </c>
      <c r="D90" s="1" t="s">
        <v>27</v>
      </c>
      <c r="E90" s="1" t="s">
        <v>27</v>
      </c>
      <c r="F90" s="1">
        <v>4.5999999999999996</v>
      </c>
      <c r="G90" s="1" t="s">
        <v>27</v>
      </c>
      <c r="H90" s="29">
        <f>(F90/2)*H54</f>
        <v>11.07795</v>
      </c>
      <c r="I90" s="1">
        <f>(F90/2)*B54</f>
        <v>8.5214999999999996</v>
      </c>
      <c r="J90" s="1" t="s">
        <v>27</v>
      </c>
      <c r="K90" s="20" t="s">
        <v>27</v>
      </c>
      <c r="L90" s="1">
        <f>I90</f>
        <v>8.5214999999999996</v>
      </c>
      <c r="O90" s="228"/>
      <c r="P90" s="15">
        <v>0.3</v>
      </c>
      <c r="Q90" s="15">
        <v>0.3</v>
      </c>
      <c r="R90" s="15">
        <f>3.2-0.5</f>
        <v>2.7</v>
      </c>
      <c r="S90" s="15">
        <v>25</v>
      </c>
      <c r="T90" s="70">
        <f>P90*Q90*R90*S90</f>
        <v>6.0750000000000002</v>
      </c>
    </row>
    <row r="91" spans="1:20">
      <c r="A91" s="252" t="s">
        <v>135</v>
      </c>
      <c r="B91" s="1" t="s">
        <v>27</v>
      </c>
      <c r="C91" s="3" t="s">
        <v>27</v>
      </c>
      <c r="D91" s="20" t="s">
        <v>27</v>
      </c>
      <c r="E91" s="1" t="s">
        <v>27</v>
      </c>
      <c r="F91" s="20">
        <v>4.3</v>
      </c>
      <c r="G91" s="1" t="s">
        <v>27</v>
      </c>
      <c r="H91" s="29">
        <f>(F91/2)*H54</f>
        <v>10.355475</v>
      </c>
      <c r="I91" s="1">
        <f>(F91/2)*B54</f>
        <v>7.9657499999999999</v>
      </c>
      <c r="J91" s="1" t="s">
        <v>27</v>
      </c>
      <c r="K91" s="20" t="s">
        <v>27</v>
      </c>
      <c r="L91" s="1">
        <f>I91</f>
        <v>7.9657499999999999</v>
      </c>
    </row>
    <row r="92" spans="1:20">
      <c r="A92" s="253" t="s">
        <v>136</v>
      </c>
      <c r="B92" s="1" t="s">
        <v>27</v>
      </c>
      <c r="C92" s="3" t="s">
        <v>27</v>
      </c>
      <c r="D92" s="20" t="s">
        <v>27</v>
      </c>
      <c r="E92" s="1" t="s">
        <v>27</v>
      </c>
      <c r="F92" s="1">
        <v>3.6</v>
      </c>
      <c r="G92" s="1" t="s">
        <v>27</v>
      </c>
      <c r="H92" s="29">
        <f>(F92/2)*H52</f>
        <v>7.1487000000000007</v>
      </c>
      <c r="I92" s="1">
        <f>(F92/2)*B52</f>
        <v>5.4990000000000006</v>
      </c>
      <c r="J92" s="1" t="s">
        <v>27</v>
      </c>
      <c r="K92" s="20" t="s">
        <v>27</v>
      </c>
      <c r="L92" s="1">
        <f>I92</f>
        <v>5.4990000000000006</v>
      </c>
    </row>
    <row r="93" spans="1:20">
      <c r="A93" s="18" t="s">
        <v>134</v>
      </c>
      <c r="B93" s="64"/>
      <c r="C93" s="68"/>
      <c r="D93" s="64"/>
      <c r="E93" s="64"/>
      <c r="F93" s="64"/>
      <c r="G93" s="64"/>
      <c r="H93" s="70">
        <f>H84+H88+H90+H91+H92</f>
        <v>195.023225</v>
      </c>
      <c r="I93" s="70"/>
      <c r="J93" s="67"/>
      <c r="K93" s="64"/>
      <c r="L93" s="70">
        <f>L84+L88+L90+L91+L92</f>
        <v>108.31325</v>
      </c>
    </row>
    <row r="94" spans="1:20" ht="15.75" thickBot="1">
      <c r="A94" s="217" t="s">
        <v>120</v>
      </c>
      <c r="B94" s="44"/>
      <c r="C94" s="61"/>
      <c r="D94" s="63"/>
      <c r="E94" s="63"/>
      <c r="F94" s="63"/>
      <c r="G94" s="63"/>
      <c r="H94" s="1">
        <f>1.5*M77</f>
        <v>20.475000000000001</v>
      </c>
      <c r="I94" s="55">
        <f>M77</f>
        <v>13.65</v>
      </c>
      <c r="J94" s="2" t="s">
        <v>27</v>
      </c>
      <c r="K94" s="21" t="s">
        <v>27</v>
      </c>
      <c r="L94" s="29">
        <f>I94</f>
        <v>13.65</v>
      </c>
    </row>
    <row r="95" spans="1:20" ht="15.75" thickBot="1">
      <c r="H95" s="71">
        <f>H93+H94</f>
        <v>215.49822499999999</v>
      </c>
      <c r="L95" s="71">
        <f>L93+L94</f>
        <v>121.96325</v>
      </c>
    </row>
    <row r="97" spans="1:12" ht="15.75" thickBot="1"/>
    <row r="98" spans="1:12" ht="15.75" thickBot="1">
      <c r="A98" s="452" t="s">
        <v>414</v>
      </c>
      <c r="B98" s="453"/>
      <c r="C98" s="12"/>
      <c r="D98" s="12"/>
      <c r="E98" s="12"/>
      <c r="F98" s="12"/>
      <c r="G98" s="12"/>
      <c r="H98" s="12"/>
      <c r="I98" s="12"/>
      <c r="J98" s="12"/>
      <c r="K98" s="12"/>
      <c r="L98" s="12"/>
    </row>
    <row r="99" spans="1:12" ht="18.75">
      <c r="A99" s="247"/>
      <c r="B99" s="248" t="s">
        <v>18</v>
      </c>
      <c r="C99" s="249" t="s">
        <v>19</v>
      </c>
      <c r="D99" s="200" t="s">
        <v>130</v>
      </c>
      <c r="E99" s="200" t="s">
        <v>131</v>
      </c>
      <c r="F99" s="200" t="s">
        <v>132</v>
      </c>
      <c r="G99" s="200" t="s">
        <v>119</v>
      </c>
      <c r="H99" s="219" t="s">
        <v>133</v>
      </c>
      <c r="I99" s="219" t="s">
        <v>58</v>
      </c>
      <c r="J99" s="219" t="s">
        <v>59</v>
      </c>
      <c r="K99" s="219" t="s">
        <v>57</v>
      </c>
      <c r="L99" s="219" t="s">
        <v>55</v>
      </c>
    </row>
    <row r="100" spans="1:12">
      <c r="A100" s="252" t="s">
        <v>17</v>
      </c>
      <c r="B100" s="375">
        <v>1</v>
      </c>
      <c r="C100" s="375">
        <v>1</v>
      </c>
      <c r="D100" s="375">
        <v>4.3</v>
      </c>
      <c r="E100" s="375" t="s">
        <v>27</v>
      </c>
      <c r="F100" s="375">
        <v>4.5999999999999996</v>
      </c>
      <c r="G100" s="375">
        <f>B100*D100/2+C100*F100/2</f>
        <v>4.4499999999999993</v>
      </c>
      <c r="H100" s="7">
        <f>H49*G100</f>
        <v>45.020649999999996</v>
      </c>
      <c r="I100" s="7">
        <f>G100*B49</f>
        <v>18.200499999999998</v>
      </c>
      <c r="J100" s="375">
        <f>D49*G100</f>
        <v>8.8999999999999986</v>
      </c>
      <c r="K100" s="375">
        <v>0.3</v>
      </c>
      <c r="L100" s="7">
        <f>I100+K100*J100</f>
        <v>20.870499999999996</v>
      </c>
    </row>
    <row r="101" spans="1:12">
      <c r="A101" s="252" t="s">
        <v>22</v>
      </c>
      <c r="B101" s="1">
        <v>1</v>
      </c>
      <c r="C101" s="1">
        <v>1</v>
      </c>
      <c r="D101" s="1" t="s">
        <v>27</v>
      </c>
      <c r="E101" s="1">
        <v>1.5</v>
      </c>
      <c r="F101" s="1">
        <v>4.5999999999999996</v>
      </c>
      <c r="G101" s="1">
        <f>B101*E101+C101*F101</f>
        <v>6.1</v>
      </c>
      <c r="H101" s="1">
        <f>G101*H50</f>
        <v>69.985299999999995</v>
      </c>
      <c r="I101" s="1">
        <f>G101*B50</f>
        <v>25.680999999999997</v>
      </c>
      <c r="J101" s="1">
        <f>G101*D50</f>
        <v>24.4</v>
      </c>
      <c r="K101" s="1">
        <v>0.6</v>
      </c>
      <c r="L101" s="1">
        <f>I101+K101*J101</f>
        <v>40.320999999999998</v>
      </c>
    </row>
    <row r="102" spans="1:12">
      <c r="A102" s="252" t="s">
        <v>45</v>
      </c>
      <c r="B102" s="1" t="s">
        <v>27</v>
      </c>
      <c r="C102" s="1" t="s">
        <v>27</v>
      </c>
      <c r="D102" s="1" t="s">
        <v>27</v>
      </c>
      <c r="E102" s="1" t="s">
        <v>27</v>
      </c>
      <c r="F102" s="1" t="s">
        <v>27</v>
      </c>
      <c r="G102" s="1" t="s">
        <v>27</v>
      </c>
      <c r="H102" s="1" t="s">
        <v>27</v>
      </c>
      <c r="I102" s="20" t="s">
        <v>27</v>
      </c>
      <c r="J102" s="1" t="s">
        <v>27</v>
      </c>
      <c r="K102" s="20" t="s">
        <v>27</v>
      </c>
      <c r="L102" s="1" t="s">
        <v>27</v>
      </c>
    </row>
    <row r="103" spans="1:12">
      <c r="A103" s="252" t="s">
        <v>137</v>
      </c>
      <c r="B103" s="1" t="s">
        <v>27</v>
      </c>
      <c r="C103" s="1" t="s">
        <v>27</v>
      </c>
      <c r="D103" s="1" t="s">
        <v>27</v>
      </c>
      <c r="E103" s="1" t="s">
        <v>27</v>
      </c>
      <c r="F103" s="1">
        <v>4.3</v>
      </c>
      <c r="G103" s="20" t="s">
        <v>27</v>
      </c>
      <c r="H103" s="29">
        <f>(F103/2)*H54</f>
        <v>10.355475</v>
      </c>
      <c r="I103" s="29">
        <f>F103/2*B54</f>
        <v>7.9657499999999999</v>
      </c>
      <c r="J103" s="1" t="s">
        <v>27</v>
      </c>
      <c r="K103" s="20" t="s">
        <v>27</v>
      </c>
      <c r="L103" s="29">
        <f>I103</f>
        <v>7.9657499999999999</v>
      </c>
    </row>
    <row r="104" spans="1:12">
      <c r="A104" s="253" t="s">
        <v>136</v>
      </c>
      <c r="B104" s="1" t="s">
        <v>27</v>
      </c>
      <c r="C104" s="1" t="s">
        <v>27</v>
      </c>
      <c r="D104" s="1" t="s">
        <v>27</v>
      </c>
      <c r="E104" s="1" t="s">
        <v>27</v>
      </c>
      <c r="F104" s="20">
        <v>3.6</v>
      </c>
      <c r="G104" s="20" t="s">
        <v>27</v>
      </c>
      <c r="H104" s="29">
        <f>(F104/2)*H52</f>
        <v>7.1487000000000007</v>
      </c>
      <c r="I104" s="1">
        <f>B52*(F104/2)</f>
        <v>5.4990000000000006</v>
      </c>
      <c r="J104" s="1" t="s">
        <v>27</v>
      </c>
      <c r="K104" s="20" t="s">
        <v>27</v>
      </c>
      <c r="L104" s="1">
        <f>I104</f>
        <v>5.4990000000000006</v>
      </c>
    </row>
    <row r="105" spans="1:12">
      <c r="A105" s="14" t="s">
        <v>134</v>
      </c>
      <c r="B105" s="65"/>
      <c r="C105" s="64"/>
      <c r="D105" s="64"/>
      <c r="E105" s="64"/>
      <c r="F105" s="64"/>
      <c r="G105" s="64"/>
      <c r="H105" s="70">
        <f>H100+H101+H103+H104</f>
        <v>132.51012499999999</v>
      </c>
      <c r="I105" s="64"/>
      <c r="J105" s="64"/>
      <c r="K105" s="64"/>
      <c r="L105" s="70">
        <f>L100+L101+L103+L104</f>
        <v>74.656249999999986</v>
      </c>
    </row>
    <row r="106" spans="1:12" ht="15.75" thickBot="1">
      <c r="A106" s="217" t="s">
        <v>120</v>
      </c>
      <c r="B106" s="44"/>
      <c r="C106" s="63"/>
      <c r="D106" s="63"/>
      <c r="E106" s="63"/>
      <c r="F106" s="63"/>
      <c r="G106" s="63"/>
      <c r="H106" s="1">
        <f>1.5*M77</f>
        <v>20.475000000000001</v>
      </c>
      <c r="I106" s="77">
        <f>M77</f>
        <v>13.65</v>
      </c>
      <c r="J106" s="60" t="s">
        <v>27</v>
      </c>
      <c r="K106" s="60" t="s">
        <v>27</v>
      </c>
      <c r="L106" s="86">
        <f>I106</f>
        <v>13.65</v>
      </c>
    </row>
    <row r="107" spans="1:12" ht="15.75" thickBot="1">
      <c r="H107" s="71">
        <f>H105+H106</f>
        <v>152.98512499999998</v>
      </c>
      <c r="L107" s="170">
        <f>L105+L106</f>
        <v>88.306249999999991</v>
      </c>
    </row>
    <row r="110" spans="1:12" ht="15.75" thickBot="1">
      <c r="A110" s="447" t="s">
        <v>142</v>
      </c>
      <c r="B110" s="448"/>
      <c r="C110" s="448"/>
      <c r="D110" s="448"/>
      <c r="E110" s="448"/>
      <c r="F110" s="448"/>
      <c r="G110" s="449"/>
    </row>
    <row r="111" spans="1:12" ht="18" thickBot="1">
      <c r="A111" s="250"/>
      <c r="B111" s="200" t="s">
        <v>11</v>
      </c>
      <c r="C111" s="200" t="s">
        <v>12</v>
      </c>
      <c r="D111" s="200" t="s">
        <v>13</v>
      </c>
      <c r="E111" s="200" t="s">
        <v>5</v>
      </c>
      <c r="F111" s="251" t="s">
        <v>6</v>
      </c>
      <c r="G111" s="258" t="s">
        <v>30</v>
      </c>
    </row>
    <row r="112" spans="1:12">
      <c r="A112" s="200" t="s">
        <v>2</v>
      </c>
      <c r="B112" s="1">
        <v>0.04</v>
      </c>
      <c r="C112" s="1">
        <v>1</v>
      </c>
      <c r="D112" s="1">
        <v>1</v>
      </c>
      <c r="E112" s="379" t="s">
        <v>27</v>
      </c>
      <c r="F112" s="3">
        <v>25</v>
      </c>
      <c r="G112" s="1">
        <f>B112*C112*D112*F112</f>
        <v>1</v>
      </c>
    </row>
    <row r="113" spans="1:11">
      <c r="A113" s="200" t="s">
        <v>3</v>
      </c>
      <c r="B113" s="1">
        <v>0.18</v>
      </c>
      <c r="C113" s="1">
        <v>0.08</v>
      </c>
      <c r="D113" s="1">
        <v>1</v>
      </c>
      <c r="E113" s="379" t="s">
        <v>27</v>
      </c>
      <c r="F113" s="3">
        <v>25</v>
      </c>
      <c r="G113" s="1">
        <f>3*B113*C113*D113*F113</f>
        <v>1.08</v>
      </c>
    </row>
    <row r="114" spans="1:11">
      <c r="A114" s="200" t="s">
        <v>4</v>
      </c>
      <c r="B114" s="1">
        <v>0.18</v>
      </c>
      <c r="C114" s="1">
        <v>0.33</v>
      </c>
      <c r="D114" s="1">
        <v>0.4</v>
      </c>
      <c r="E114" s="1">
        <v>7.5999999999999998E-2</v>
      </c>
      <c r="F114" s="3" t="s">
        <v>27</v>
      </c>
      <c r="G114" s="1">
        <f>J5*E114</f>
        <v>0.56999999999999995</v>
      </c>
    </row>
    <row r="115" spans="1:11" ht="15.75" thickBot="1">
      <c r="A115" s="8" t="s">
        <v>7</v>
      </c>
      <c r="B115" s="9"/>
      <c r="C115" s="9"/>
      <c r="D115" s="9"/>
      <c r="E115" s="9"/>
      <c r="F115" s="9"/>
      <c r="G115" s="220">
        <f>SUM(G112:G114)</f>
        <v>2.65</v>
      </c>
    </row>
    <row r="116" spans="1:11" ht="18" thickBot="1">
      <c r="A116" s="219"/>
      <c r="B116" s="200" t="s">
        <v>11</v>
      </c>
      <c r="C116" s="200" t="s">
        <v>12</v>
      </c>
      <c r="D116" s="259" t="s">
        <v>13</v>
      </c>
      <c r="E116" s="217"/>
      <c r="F116" s="251" t="s">
        <v>6</v>
      </c>
      <c r="G116" s="258" t="s">
        <v>31</v>
      </c>
    </row>
    <row r="117" spans="1:11">
      <c r="A117" s="200" t="s">
        <v>29</v>
      </c>
      <c r="B117" s="1">
        <f>B21</f>
        <v>1</v>
      </c>
      <c r="C117" s="1">
        <f>C21</f>
        <v>1</v>
      </c>
      <c r="D117" s="375">
        <f>D21</f>
        <v>0.04</v>
      </c>
      <c r="E117" s="379"/>
      <c r="F117" s="381">
        <f>F21</f>
        <v>18</v>
      </c>
      <c r="G117" s="20">
        <f>B117*C117*D117*F117</f>
        <v>0.72</v>
      </c>
    </row>
    <row r="118" spans="1:11">
      <c r="A118" s="200" t="s">
        <v>14</v>
      </c>
      <c r="B118" s="1">
        <v>0</v>
      </c>
      <c r="C118" s="1">
        <v>0</v>
      </c>
      <c r="D118" s="1">
        <v>0</v>
      </c>
      <c r="E118" s="379" t="s">
        <v>27</v>
      </c>
      <c r="F118" s="3">
        <v>0</v>
      </c>
      <c r="G118" s="1">
        <f>B118*C118*D118*F118</f>
        <v>0</v>
      </c>
    </row>
    <row r="119" spans="1:11">
      <c r="A119" s="218" t="s">
        <v>8</v>
      </c>
      <c r="B119" s="1">
        <v>1</v>
      </c>
      <c r="C119" s="1">
        <v>1</v>
      </c>
      <c r="D119" s="1">
        <v>0.02</v>
      </c>
      <c r="E119" s="379" t="s">
        <v>27</v>
      </c>
      <c r="F119" s="3">
        <v>20</v>
      </c>
      <c r="G119" s="1">
        <f>B119*C119*D119*F119</f>
        <v>0.4</v>
      </c>
    </row>
    <row r="120" spans="1:11">
      <c r="A120" s="8" t="s">
        <v>7</v>
      </c>
      <c r="B120" s="9"/>
      <c r="C120" s="9"/>
      <c r="D120" s="9"/>
      <c r="E120" s="9"/>
      <c r="F120" s="9"/>
      <c r="G120" s="382">
        <f>SUM(G117:G119,)</f>
        <v>1.1200000000000001</v>
      </c>
    </row>
    <row r="124" spans="1:11" ht="21">
      <c r="A124" s="444" t="s">
        <v>142</v>
      </c>
      <c r="B124" s="450"/>
      <c r="C124" s="450"/>
      <c r="D124" s="450"/>
      <c r="E124" s="450"/>
      <c r="F124" s="450"/>
      <c r="G124" s="450"/>
      <c r="H124" s="450"/>
      <c r="I124" s="450"/>
      <c r="J124" s="450"/>
      <c r="K124" s="451"/>
    </row>
    <row r="125" spans="1:11" ht="18">
      <c r="A125" s="115"/>
      <c r="B125" s="377" t="s">
        <v>37</v>
      </c>
      <c r="C125" s="98" t="s">
        <v>38</v>
      </c>
      <c r="D125" s="98" t="s">
        <v>39</v>
      </c>
      <c r="E125" s="98" t="s">
        <v>40</v>
      </c>
      <c r="F125" s="98" t="s">
        <v>41</v>
      </c>
      <c r="G125" s="98" t="s">
        <v>42</v>
      </c>
      <c r="H125" s="98" t="s">
        <v>43</v>
      </c>
      <c r="I125" s="101" t="s">
        <v>57</v>
      </c>
      <c r="J125" s="101" t="s">
        <v>56</v>
      </c>
      <c r="K125" s="98" t="s">
        <v>55</v>
      </c>
    </row>
    <row r="126" spans="1:11" ht="17.25">
      <c r="A126" s="200" t="s">
        <v>258</v>
      </c>
      <c r="B126" s="7">
        <f>G115+G120</f>
        <v>3.77</v>
      </c>
      <c r="C126" s="375" t="s">
        <v>27</v>
      </c>
      <c r="D126" s="375">
        <v>0.5</v>
      </c>
      <c r="E126" s="7">
        <f>1.3*B126</f>
        <v>4.9009999999999998</v>
      </c>
      <c r="F126" s="375" t="s">
        <v>27</v>
      </c>
      <c r="G126" s="375">
        <f>D126*1.5</f>
        <v>0.75</v>
      </c>
      <c r="H126" s="22">
        <f>E126+G126</f>
        <v>5.6509999999999998</v>
      </c>
      <c r="I126" s="375">
        <v>0</v>
      </c>
      <c r="J126" s="375">
        <f>I126*D126</f>
        <v>0</v>
      </c>
      <c r="K126" s="26">
        <f>B126+D126*I126</f>
        <v>3.77</v>
      </c>
    </row>
    <row r="127" spans="1:11" ht="17.25">
      <c r="A127" s="200" t="s">
        <v>259</v>
      </c>
      <c r="B127" s="1" t="s">
        <v>27</v>
      </c>
      <c r="C127" s="1" t="s">
        <v>27</v>
      </c>
      <c r="D127" s="1" t="s">
        <v>27</v>
      </c>
      <c r="E127" s="29" t="s">
        <v>27</v>
      </c>
      <c r="F127" s="1" t="s">
        <v>27</v>
      </c>
      <c r="G127" s="1" t="s">
        <v>27</v>
      </c>
      <c r="H127" s="23" t="s">
        <v>27</v>
      </c>
      <c r="I127" s="1" t="s">
        <v>27</v>
      </c>
      <c r="J127" s="1" t="s">
        <v>27</v>
      </c>
      <c r="K127" s="4" t="s">
        <v>27</v>
      </c>
    </row>
    <row r="128" spans="1:11">
      <c r="A128" s="200" t="s">
        <v>260</v>
      </c>
      <c r="B128" s="1" t="s">
        <v>27</v>
      </c>
      <c r="C128" s="1" t="s">
        <v>27</v>
      </c>
      <c r="D128" s="1" t="s">
        <v>27</v>
      </c>
      <c r="E128" s="29" t="s">
        <v>27</v>
      </c>
      <c r="F128" s="1" t="s">
        <v>27</v>
      </c>
      <c r="G128" s="1" t="s">
        <v>27</v>
      </c>
      <c r="H128" s="23" t="s">
        <v>27</v>
      </c>
      <c r="I128" s="1" t="s">
        <v>27</v>
      </c>
      <c r="J128" s="1" t="s">
        <v>27</v>
      </c>
      <c r="K128" s="27" t="str">
        <f>B128</f>
        <v>-</v>
      </c>
    </row>
    <row r="129" spans="1:11">
      <c r="A129" s="200" t="s">
        <v>261</v>
      </c>
      <c r="B129" s="1">
        <f>G42</f>
        <v>3.85</v>
      </c>
      <c r="C129" s="1" t="s">
        <v>27</v>
      </c>
      <c r="D129" s="1" t="s">
        <v>27</v>
      </c>
      <c r="E129" s="1">
        <f>1.3*B129</f>
        <v>5.0049999999999999</v>
      </c>
      <c r="F129" s="20" t="s">
        <v>27</v>
      </c>
      <c r="G129" s="20" t="s">
        <v>27</v>
      </c>
      <c r="H129" s="24">
        <f>E129</f>
        <v>5.0049999999999999</v>
      </c>
      <c r="I129" s="20" t="s">
        <v>27</v>
      </c>
      <c r="J129" s="1" t="s">
        <v>27</v>
      </c>
      <c r="K129" s="27">
        <f>B129</f>
        <v>3.85</v>
      </c>
    </row>
    <row r="130" spans="1:11">
      <c r="A130" s="200" t="s">
        <v>262</v>
      </c>
      <c r="B130" s="58" t="s">
        <v>27</v>
      </c>
      <c r="C130" s="58" t="s">
        <v>27</v>
      </c>
      <c r="D130" s="58" t="s">
        <v>27</v>
      </c>
      <c r="E130" s="58" t="s">
        <v>27</v>
      </c>
      <c r="F130" s="58" t="s">
        <v>27</v>
      </c>
      <c r="G130" s="58" t="s">
        <v>27</v>
      </c>
      <c r="H130" s="209" t="s">
        <v>27</v>
      </c>
      <c r="I130" s="58" t="s">
        <v>27</v>
      </c>
      <c r="J130" s="58" t="s">
        <v>27</v>
      </c>
      <c r="K130" s="210" t="str">
        <f>B130</f>
        <v>-</v>
      </c>
    </row>
    <row r="131" spans="1:11" ht="17.25">
      <c r="A131" s="200" t="s">
        <v>263</v>
      </c>
      <c r="B131" s="2" t="s">
        <v>27</v>
      </c>
      <c r="C131" s="2" t="s">
        <v>27</v>
      </c>
      <c r="D131" s="2" t="s">
        <v>27</v>
      </c>
      <c r="E131" s="2" t="s">
        <v>27</v>
      </c>
      <c r="F131" s="21" t="s">
        <v>27</v>
      </c>
      <c r="G131" s="21" t="s">
        <v>27</v>
      </c>
      <c r="H131" s="25" t="s">
        <v>27</v>
      </c>
      <c r="I131" s="21" t="s">
        <v>27</v>
      </c>
      <c r="J131" s="2" t="s">
        <v>27</v>
      </c>
      <c r="K131" s="28" t="str">
        <f>B131</f>
        <v>-</v>
      </c>
    </row>
    <row r="134" spans="1:11" ht="15.75" thickBot="1">
      <c r="A134" s="456" t="s">
        <v>264</v>
      </c>
      <c r="B134" s="468"/>
      <c r="C134" s="468"/>
      <c r="D134" s="468"/>
      <c r="E134" s="468"/>
      <c r="F134" s="468"/>
      <c r="G134" s="469"/>
    </row>
    <row r="135" spans="1:11" ht="18" thickBot="1">
      <c r="A135" s="250"/>
      <c r="B135" s="200" t="s">
        <v>11</v>
      </c>
      <c r="C135" s="200" t="s">
        <v>12</v>
      </c>
      <c r="D135" s="200" t="s">
        <v>13</v>
      </c>
      <c r="E135" s="200" t="s">
        <v>5</v>
      </c>
      <c r="F135" s="251" t="s">
        <v>6</v>
      </c>
      <c r="G135" s="258" t="s">
        <v>30</v>
      </c>
    </row>
    <row r="136" spans="1:11">
      <c r="A136" s="200" t="s">
        <v>2</v>
      </c>
      <c r="B136" s="1">
        <v>0.04</v>
      </c>
      <c r="C136" s="1">
        <v>1</v>
      </c>
      <c r="D136" s="1">
        <v>1</v>
      </c>
      <c r="E136" s="379" t="s">
        <v>27</v>
      </c>
      <c r="F136" s="3">
        <v>25</v>
      </c>
      <c r="G136" s="1">
        <f>B136*C136*D136*F136</f>
        <v>1</v>
      </c>
    </row>
    <row r="137" spans="1:11">
      <c r="A137" s="200" t="s">
        <v>3</v>
      </c>
      <c r="B137" s="1">
        <v>0.18</v>
      </c>
      <c r="C137" s="1">
        <v>0.08</v>
      </c>
      <c r="D137" s="1">
        <v>1</v>
      </c>
      <c r="E137" s="379" t="s">
        <v>27</v>
      </c>
      <c r="F137" s="3">
        <v>25</v>
      </c>
      <c r="G137" s="1">
        <f>3*B137*C137*D137*F137</f>
        <v>1.08</v>
      </c>
    </row>
    <row r="138" spans="1:11">
      <c r="A138" s="200" t="s">
        <v>4</v>
      </c>
      <c r="B138" s="1">
        <v>0.18</v>
      </c>
      <c r="C138" s="1">
        <v>0.33</v>
      </c>
      <c r="D138" s="1">
        <v>0.4</v>
      </c>
      <c r="E138" s="1">
        <v>7.5999999999999998E-2</v>
      </c>
      <c r="F138" s="3" t="s">
        <v>27</v>
      </c>
      <c r="G138" s="1">
        <f>J5*E138</f>
        <v>0.56999999999999995</v>
      </c>
    </row>
    <row r="139" spans="1:11" ht="15.75" thickBot="1">
      <c r="A139" s="8" t="s">
        <v>7</v>
      </c>
      <c r="B139" s="9"/>
      <c r="C139" s="9"/>
      <c r="D139" s="9"/>
      <c r="E139" s="9"/>
      <c r="F139" s="9"/>
      <c r="G139" s="220">
        <f>SUM(G136:G138)</f>
        <v>2.65</v>
      </c>
    </row>
    <row r="140" spans="1:11" ht="18" thickBot="1">
      <c r="A140" s="219"/>
      <c r="B140" s="200" t="s">
        <v>11</v>
      </c>
      <c r="C140" s="200" t="s">
        <v>12</v>
      </c>
      <c r="D140" s="259" t="s">
        <v>13</v>
      </c>
      <c r="E140" s="217"/>
      <c r="F140" s="251" t="s">
        <v>6</v>
      </c>
      <c r="G140" s="258" t="s">
        <v>31</v>
      </c>
    </row>
    <row r="141" spans="1:11">
      <c r="A141" s="200" t="s">
        <v>29</v>
      </c>
      <c r="B141" s="1">
        <v>1</v>
      </c>
      <c r="C141" s="1">
        <v>1</v>
      </c>
      <c r="D141" s="375">
        <v>0.04</v>
      </c>
      <c r="E141" s="379" t="s">
        <v>27</v>
      </c>
      <c r="F141" s="381">
        <v>18</v>
      </c>
      <c r="G141" s="1">
        <f>F141*D141*C141*B141</f>
        <v>0.72</v>
      </c>
    </row>
    <row r="142" spans="1:11">
      <c r="A142" s="200" t="s">
        <v>14</v>
      </c>
      <c r="B142" s="1">
        <v>1</v>
      </c>
      <c r="C142" s="1">
        <v>1</v>
      </c>
      <c r="D142" s="1">
        <v>0.02</v>
      </c>
      <c r="E142" s="379" t="s">
        <v>27</v>
      </c>
      <c r="F142" s="3">
        <v>22</v>
      </c>
      <c r="G142" s="1">
        <f>B142*C142*D142*F142</f>
        <v>0.44</v>
      </c>
    </row>
    <row r="143" spans="1:11">
      <c r="A143" s="218" t="s">
        <v>8</v>
      </c>
      <c r="B143" s="1">
        <v>1</v>
      </c>
      <c r="C143" s="1">
        <v>1</v>
      </c>
      <c r="D143" s="1">
        <v>0.02</v>
      </c>
      <c r="E143" s="379" t="s">
        <v>27</v>
      </c>
      <c r="F143" s="3">
        <v>20</v>
      </c>
      <c r="G143" s="1">
        <f>B143*C143*D143*F143</f>
        <v>0.4</v>
      </c>
    </row>
    <row r="144" spans="1:11">
      <c r="A144" s="8" t="s">
        <v>7</v>
      </c>
      <c r="B144" s="9"/>
      <c r="C144" s="9"/>
      <c r="D144" s="9"/>
      <c r="E144" s="9"/>
      <c r="F144" s="9"/>
      <c r="G144" s="382">
        <f>SUM(G141:G143,)</f>
        <v>1.56</v>
      </c>
    </row>
    <row r="147" spans="1:15" ht="21">
      <c r="A147" s="444" t="s">
        <v>264</v>
      </c>
      <c r="B147" s="450"/>
      <c r="C147" s="450"/>
      <c r="D147" s="450"/>
      <c r="E147" s="450"/>
      <c r="F147" s="450"/>
      <c r="G147" s="450"/>
      <c r="H147" s="450"/>
      <c r="I147" s="450"/>
      <c r="J147" s="450"/>
      <c r="K147" s="451"/>
    </row>
    <row r="148" spans="1:15" ht="18">
      <c r="A148" s="115"/>
      <c r="B148" s="377" t="s">
        <v>37</v>
      </c>
      <c r="C148" s="98" t="s">
        <v>38</v>
      </c>
      <c r="D148" s="98" t="s">
        <v>39</v>
      </c>
      <c r="E148" s="98" t="s">
        <v>40</v>
      </c>
      <c r="F148" s="98" t="s">
        <v>41</v>
      </c>
      <c r="G148" s="98" t="s">
        <v>42</v>
      </c>
      <c r="H148" s="98" t="s">
        <v>43</v>
      </c>
      <c r="I148" s="101" t="s">
        <v>57</v>
      </c>
      <c r="J148" s="101" t="s">
        <v>56</v>
      </c>
      <c r="K148" s="98" t="s">
        <v>55</v>
      </c>
    </row>
    <row r="149" spans="1:15" ht="17.25">
      <c r="A149" s="200" t="s">
        <v>258</v>
      </c>
      <c r="B149" s="7">
        <f>G139+G144</f>
        <v>4.21</v>
      </c>
      <c r="C149" s="375" t="s">
        <v>27</v>
      </c>
      <c r="D149" s="375">
        <v>2</v>
      </c>
      <c r="E149" s="7">
        <f>1.3*B149</f>
        <v>5.4729999999999999</v>
      </c>
      <c r="F149" s="375" t="s">
        <v>27</v>
      </c>
      <c r="G149" s="375">
        <f>D149*1.5</f>
        <v>3</v>
      </c>
      <c r="H149" s="22">
        <f>E149+G149</f>
        <v>8.472999999999999</v>
      </c>
      <c r="I149" s="375">
        <v>0.3</v>
      </c>
      <c r="J149" s="375">
        <f>I149*D149</f>
        <v>0.6</v>
      </c>
      <c r="K149" s="26">
        <f>B149+D149*I149</f>
        <v>4.8099999999999996</v>
      </c>
    </row>
    <row r="150" spans="1:15" ht="17.25">
      <c r="A150" s="200" t="s">
        <v>259</v>
      </c>
      <c r="B150" s="1" t="s">
        <v>27</v>
      </c>
      <c r="C150" s="1" t="s">
        <v>27</v>
      </c>
      <c r="D150" s="1" t="s">
        <v>27</v>
      </c>
      <c r="E150" s="29" t="s">
        <v>27</v>
      </c>
      <c r="F150" s="1" t="s">
        <v>27</v>
      </c>
      <c r="G150" s="1" t="s">
        <v>27</v>
      </c>
      <c r="H150" s="23" t="s">
        <v>27</v>
      </c>
      <c r="I150" s="1" t="s">
        <v>27</v>
      </c>
      <c r="J150" s="1" t="s">
        <v>27</v>
      </c>
      <c r="K150" s="4" t="s">
        <v>27</v>
      </c>
    </row>
    <row r="151" spans="1:15">
      <c r="A151" s="200" t="s">
        <v>260</v>
      </c>
      <c r="B151" s="1" t="s">
        <v>27</v>
      </c>
      <c r="C151" s="1" t="s">
        <v>27</v>
      </c>
      <c r="D151" s="1" t="s">
        <v>27</v>
      </c>
      <c r="E151" s="29" t="s">
        <v>27</v>
      </c>
      <c r="F151" s="1" t="s">
        <v>27</v>
      </c>
      <c r="G151" s="1" t="s">
        <v>27</v>
      </c>
      <c r="H151" s="23" t="s">
        <v>27</v>
      </c>
      <c r="I151" s="1" t="s">
        <v>27</v>
      </c>
      <c r="J151" s="1" t="s">
        <v>27</v>
      </c>
      <c r="K151" s="27" t="str">
        <f>B151</f>
        <v>-</v>
      </c>
    </row>
    <row r="152" spans="1:15">
      <c r="A152" s="200" t="s">
        <v>261</v>
      </c>
      <c r="B152" s="1">
        <f>G42</f>
        <v>3.85</v>
      </c>
      <c r="C152" s="1" t="s">
        <v>27</v>
      </c>
      <c r="D152" s="1" t="s">
        <v>27</v>
      </c>
      <c r="E152" s="1">
        <f>1.3*B152</f>
        <v>5.0049999999999999</v>
      </c>
      <c r="F152" s="20" t="s">
        <v>27</v>
      </c>
      <c r="G152" s="20" t="s">
        <v>27</v>
      </c>
      <c r="H152" s="24">
        <f>E152</f>
        <v>5.0049999999999999</v>
      </c>
      <c r="I152" s="20" t="s">
        <v>27</v>
      </c>
      <c r="J152" s="1" t="s">
        <v>27</v>
      </c>
      <c r="K152" s="27">
        <f>B152</f>
        <v>3.85</v>
      </c>
    </row>
    <row r="153" spans="1:15">
      <c r="A153" s="200" t="s">
        <v>262</v>
      </c>
      <c r="B153" s="20" t="s">
        <v>27</v>
      </c>
      <c r="C153" s="20" t="s">
        <v>27</v>
      </c>
      <c r="D153" s="20" t="s">
        <v>27</v>
      </c>
      <c r="E153" s="20" t="s">
        <v>27</v>
      </c>
      <c r="F153" s="20" t="s">
        <v>27</v>
      </c>
      <c r="G153" s="20" t="s">
        <v>27</v>
      </c>
      <c r="H153" s="24" t="s">
        <v>27</v>
      </c>
      <c r="I153" s="20" t="s">
        <v>27</v>
      </c>
      <c r="J153" s="20" t="s">
        <v>27</v>
      </c>
      <c r="K153" s="27" t="str">
        <f>B153</f>
        <v>-</v>
      </c>
    </row>
    <row r="154" spans="1:15" ht="17.25">
      <c r="A154" s="200" t="s">
        <v>263</v>
      </c>
      <c r="B154" s="2" t="s">
        <v>27</v>
      </c>
      <c r="C154" s="2" t="s">
        <v>27</v>
      </c>
      <c r="D154" s="2" t="s">
        <v>27</v>
      </c>
      <c r="E154" s="2" t="s">
        <v>27</v>
      </c>
      <c r="F154" s="21" t="s">
        <v>27</v>
      </c>
      <c r="G154" s="21" t="s">
        <v>27</v>
      </c>
      <c r="H154" s="25" t="s">
        <v>27</v>
      </c>
      <c r="I154" s="21" t="s">
        <v>27</v>
      </c>
      <c r="J154" s="2" t="s">
        <v>27</v>
      </c>
      <c r="K154" s="28" t="str">
        <f>B154</f>
        <v>-</v>
      </c>
    </row>
    <row r="157" spans="1:15" ht="15.75" thickBot="1"/>
    <row r="158" spans="1:15" ht="15.75" thickBot="1">
      <c r="A158" s="456" t="s">
        <v>251</v>
      </c>
      <c r="B158" s="468"/>
      <c r="C158" s="468"/>
      <c r="D158" s="468"/>
      <c r="E158" s="468"/>
      <c r="F158" s="468"/>
      <c r="G158" s="469"/>
      <c r="I158" s="465" t="s">
        <v>139</v>
      </c>
      <c r="J158" s="466"/>
      <c r="K158" s="466"/>
      <c r="L158" s="466"/>
      <c r="M158" s="466"/>
      <c r="N158" s="466"/>
      <c r="O158" s="467"/>
    </row>
    <row r="159" spans="1:15" ht="18" thickBot="1">
      <c r="A159" s="250"/>
      <c r="B159" s="200" t="s">
        <v>11</v>
      </c>
      <c r="C159" s="200" t="s">
        <v>86</v>
      </c>
      <c r="D159" s="200" t="s">
        <v>362</v>
      </c>
      <c r="E159" s="200" t="s">
        <v>5</v>
      </c>
      <c r="F159" s="251" t="s">
        <v>6</v>
      </c>
      <c r="G159" s="258" t="s">
        <v>30</v>
      </c>
      <c r="I159" s="216"/>
      <c r="J159" s="99" t="s">
        <v>11</v>
      </c>
      <c r="K159" s="99" t="s">
        <v>12</v>
      </c>
      <c r="L159" s="99" t="s">
        <v>13</v>
      </c>
      <c r="M159" s="99" t="s">
        <v>5</v>
      </c>
      <c r="N159" s="120" t="s">
        <v>6</v>
      </c>
      <c r="O159" s="221" t="s">
        <v>30</v>
      </c>
    </row>
    <row r="160" spans="1:15">
      <c r="A160" s="200" t="s">
        <v>2</v>
      </c>
      <c r="B160" s="1">
        <v>0.16</v>
      </c>
      <c r="C160" s="1">
        <v>1</v>
      </c>
      <c r="D160" s="1">
        <v>1</v>
      </c>
      <c r="E160" s="379" t="s">
        <v>27</v>
      </c>
      <c r="F160" s="3">
        <v>25</v>
      </c>
      <c r="G160" s="320">
        <f>B160*C160*D160*F160</f>
        <v>4</v>
      </c>
      <c r="I160" s="99" t="s">
        <v>2</v>
      </c>
      <c r="J160" s="375">
        <v>0.04</v>
      </c>
      <c r="K160" s="375">
        <v>1.3</v>
      </c>
      <c r="L160" s="375">
        <v>1</v>
      </c>
      <c r="M160" s="375" t="s">
        <v>27</v>
      </c>
      <c r="N160" s="381">
        <v>25</v>
      </c>
      <c r="O160" s="1">
        <f>J160*K160*L160*25</f>
        <v>1.3</v>
      </c>
    </row>
    <row r="161" spans="1:17">
      <c r="A161" s="200" t="s">
        <v>357</v>
      </c>
      <c r="B161" s="1">
        <v>0.16</v>
      </c>
      <c r="C161" s="1">
        <v>0.3</v>
      </c>
      <c r="D161" s="1">
        <v>1</v>
      </c>
      <c r="E161" s="379" t="s">
        <v>27</v>
      </c>
      <c r="F161" s="3">
        <v>8</v>
      </c>
      <c r="G161" s="1">
        <f>(B161*C161/2)*D161*F161/0.3</f>
        <v>0.64</v>
      </c>
      <c r="I161" s="99" t="s">
        <v>3</v>
      </c>
      <c r="J161" s="1">
        <v>0.18</v>
      </c>
      <c r="K161" s="1">
        <v>0.08</v>
      </c>
      <c r="L161" s="1">
        <v>1</v>
      </c>
      <c r="M161" s="1" t="s">
        <v>27</v>
      </c>
      <c r="N161" s="3">
        <v>25</v>
      </c>
      <c r="O161" s="1">
        <f>3*K161*J161*L161*N161</f>
        <v>1.0799999999999998</v>
      </c>
    </row>
    <row r="162" spans="1:17" ht="15.75" thickBot="1">
      <c r="A162" s="8" t="s">
        <v>7</v>
      </c>
      <c r="B162" s="9"/>
      <c r="C162" s="9"/>
      <c r="D162" s="9"/>
      <c r="E162" s="9"/>
      <c r="F162" s="9"/>
      <c r="G162" s="382">
        <f>SUM(G159:G161)</f>
        <v>4.6399999999999997</v>
      </c>
      <c r="I162" s="99" t="s">
        <v>4</v>
      </c>
      <c r="J162" s="1">
        <v>0.18</v>
      </c>
      <c r="K162" s="1">
        <v>0.33</v>
      </c>
      <c r="L162" s="1">
        <v>0.4</v>
      </c>
      <c r="M162" s="1">
        <v>7.5999999999999998E-2</v>
      </c>
      <c r="N162" s="3" t="s">
        <v>27</v>
      </c>
      <c r="O162" s="1">
        <f>2*M162</f>
        <v>0.152</v>
      </c>
    </row>
    <row r="163" spans="1:17" ht="18" thickBot="1">
      <c r="A163" s="219" t="s">
        <v>358</v>
      </c>
      <c r="B163" s="200" t="s">
        <v>11</v>
      </c>
      <c r="C163" s="200" t="s">
        <v>12</v>
      </c>
      <c r="D163" s="319" t="s">
        <v>13</v>
      </c>
      <c r="E163" s="217"/>
      <c r="F163" s="317" t="s">
        <v>6</v>
      </c>
      <c r="G163" s="321" t="s">
        <v>31</v>
      </c>
      <c r="I163" s="8" t="s">
        <v>7</v>
      </c>
      <c r="J163" s="9"/>
      <c r="K163" s="9"/>
      <c r="L163" s="9"/>
      <c r="M163" s="9"/>
      <c r="N163" s="9"/>
      <c r="O163" s="333">
        <f>SUM(O160:O162)</f>
        <v>2.532</v>
      </c>
      <c r="P163" s="333">
        <f>O163/1.3</f>
        <v>1.9476923076923076</v>
      </c>
      <c r="Q163" s="333">
        <f>P163/COS(0.48)</f>
        <v>2.1958325326028532</v>
      </c>
    </row>
    <row r="164" spans="1:17" ht="18" thickBot="1">
      <c r="A164" s="200" t="s">
        <v>360</v>
      </c>
      <c r="B164" s="375">
        <v>0.32</v>
      </c>
      <c r="C164" s="375">
        <v>1</v>
      </c>
      <c r="D164" s="375">
        <v>0.02</v>
      </c>
      <c r="E164" s="59"/>
      <c r="F164" s="375">
        <v>28</v>
      </c>
      <c r="G164" s="325">
        <f>B164*C164*D164*F164/0.3</f>
        <v>0.59733333333333338</v>
      </c>
      <c r="I164" s="216"/>
      <c r="J164" s="102" t="s">
        <v>11</v>
      </c>
      <c r="K164" s="102" t="s">
        <v>12</v>
      </c>
      <c r="L164" s="102" t="s">
        <v>13</v>
      </c>
      <c r="M164" s="216"/>
      <c r="N164" s="120" t="s">
        <v>6</v>
      </c>
      <c r="O164" s="332" t="s">
        <v>31</v>
      </c>
    </row>
    <row r="165" spans="1:17">
      <c r="A165" s="218"/>
      <c r="B165" s="1"/>
      <c r="C165" s="1"/>
      <c r="D165" s="1"/>
      <c r="E165" s="62"/>
      <c r="F165" s="1"/>
      <c r="G165" s="325"/>
      <c r="I165" s="120" t="s">
        <v>366</v>
      </c>
      <c r="J165" s="69">
        <v>0.16</v>
      </c>
      <c r="K165" s="69">
        <v>0.3</v>
      </c>
      <c r="L165" s="69">
        <v>1</v>
      </c>
      <c r="M165" s="12"/>
      <c r="N165" s="69">
        <v>8</v>
      </c>
      <c r="O165" s="330">
        <f>(J165*K165/2)*N165*L165/0.3</f>
        <v>0.64</v>
      </c>
    </row>
    <row r="166" spans="1:17">
      <c r="A166" s="218" t="s">
        <v>359</v>
      </c>
      <c r="B166" s="1">
        <v>0.32</v>
      </c>
      <c r="C166" s="1">
        <v>1</v>
      </c>
      <c r="D166" s="1">
        <v>0.02</v>
      </c>
      <c r="E166" s="3" t="s">
        <v>27</v>
      </c>
      <c r="F166" s="1">
        <v>18</v>
      </c>
      <c r="G166" s="4">
        <f>B166*C166*D166*F166/0.3</f>
        <v>0.38400000000000006</v>
      </c>
      <c r="I166" s="99" t="s">
        <v>360</v>
      </c>
      <c r="J166" s="1">
        <v>0.13</v>
      </c>
      <c r="K166" s="1">
        <v>0.35</v>
      </c>
      <c r="L166" s="1">
        <v>0.03</v>
      </c>
      <c r="M166" s="379" t="s">
        <v>27</v>
      </c>
      <c r="N166" s="20">
        <v>27</v>
      </c>
      <c r="O166" s="78">
        <f>(J166+K166)*L166*N166*1/0.3</f>
        <v>1.296</v>
      </c>
    </row>
    <row r="167" spans="1:17">
      <c r="A167" s="219" t="s">
        <v>361</v>
      </c>
      <c r="B167" s="200"/>
      <c r="C167" s="200"/>
      <c r="D167" s="200"/>
      <c r="E167" s="251" t="s">
        <v>27</v>
      </c>
      <c r="F167" s="200"/>
      <c r="G167" s="322"/>
      <c r="I167" s="99" t="s">
        <v>367</v>
      </c>
      <c r="J167" s="1">
        <v>0.16</v>
      </c>
      <c r="K167" s="1">
        <v>0.3</v>
      </c>
      <c r="L167" s="1">
        <v>0.03</v>
      </c>
      <c r="M167" s="379" t="s">
        <v>27</v>
      </c>
      <c r="N167" s="1">
        <v>20</v>
      </c>
      <c r="O167" s="1">
        <f>(J167+K167)*L167*N167*1/0.3</f>
        <v>0.91999999999999993</v>
      </c>
    </row>
    <row r="168" spans="1:17">
      <c r="A168" s="318" t="s">
        <v>360</v>
      </c>
      <c r="B168" s="1">
        <v>0.16</v>
      </c>
      <c r="C168" s="1">
        <v>1</v>
      </c>
      <c r="D168" s="1">
        <v>0.02</v>
      </c>
      <c r="E168" s="3"/>
      <c r="F168" s="1">
        <v>28</v>
      </c>
      <c r="G168" s="78">
        <f>B168*C168*D168*F168/0.3</f>
        <v>0.29866666666666669</v>
      </c>
      <c r="I168" s="102" t="s">
        <v>8</v>
      </c>
      <c r="J168" s="1">
        <v>1</v>
      </c>
      <c r="K168" s="1">
        <v>0.34</v>
      </c>
      <c r="L168" s="1">
        <v>0.02</v>
      </c>
      <c r="M168" s="379" t="s">
        <v>27</v>
      </c>
      <c r="N168" s="1">
        <v>16</v>
      </c>
      <c r="O168" s="29">
        <f>K168*L168*N168*J168/0.3</f>
        <v>0.36266666666666669</v>
      </c>
    </row>
    <row r="169" spans="1:17" ht="15.75" thickBot="1">
      <c r="A169" s="218" t="s">
        <v>359</v>
      </c>
      <c r="B169" s="2">
        <v>0.16</v>
      </c>
      <c r="C169" s="2">
        <v>1</v>
      </c>
      <c r="D169" s="2">
        <v>0.02</v>
      </c>
      <c r="E169" s="137" t="s">
        <v>27</v>
      </c>
      <c r="F169" s="2">
        <v>18</v>
      </c>
      <c r="G169" s="188">
        <f>B169*C169*D169*F169/0.3</f>
        <v>0.19200000000000003</v>
      </c>
      <c r="I169" s="8" t="s">
        <v>7</v>
      </c>
      <c r="J169" s="9"/>
      <c r="K169" s="9"/>
      <c r="L169" s="9"/>
      <c r="M169" s="9"/>
      <c r="N169" s="9"/>
      <c r="O169" s="331">
        <f>SUM(O165:O168)</f>
        <v>3.2186666666666666</v>
      </c>
    </row>
    <row r="170" spans="1:17" ht="15.75" thickBot="1">
      <c r="A170" s="8" t="s">
        <v>7</v>
      </c>
      <c r="B170" s="9"/>
      <c r="C170" s="9"/>
      <c r="D170" s="9"/>
      <c r="E170" s="9"/>
      <c r="F170" s="189"/>
      <c r="G170" s="10">
        <f>SUM(G164:G169)</f>
        <v>1.472</v>
      </c>
      <c r="N170" s="327" t="s">
        <v>364</v>
      </c>
      <c r="O170" s="71">
        <f>Q163+O169</f>
        <v>5.4144991992695193</v>
      </c>
    </row>
    <row r="171" spans="1:17">
      <c r="A171" s="219"/>
      <c r="B171" s="380" t="s">
        <v>27</v>
      </c>
      <c r="C171" s="51" t="s">
        <v>27</v>
      </c>
      <c r="D171" s="51" t="s">
        <v>27</v>
      </c>
      <c r="E171" s="51" t="s">
        <v>27</v>
      </c>
      <c r="F171" s="51" t="s">
        <v>27</v>
      </c>
      <c r="G171" s="323">
        <f>G162+G170</f>
        <v>6.1120000000000001</v>
      </c>
    </row>
    <row r="172" spans="1:17" ht="15.75" thickBot="1"/>
    <row r="173" spans="1:17" ht="18" thickBot="1">
      <c r="A173" s="219" t="s">
        <v>363</v>
      </c>
      <c r="B173" s="200" t="s">
        <v>11</v>
      </c>
      <c r="C173" s="200" t="s">
        <v>12</v>
      </c>
      <c r="D173" s="319" t="s">
        <v>13</v>
      </c>
      <c r="E173" s="217"/>
      <c r="F173" s="317" t="s">
        <v>6</v>
      </c>
      <c r="G173" s="321" t="s">
        <v>31</v>
      </c>
    </row>
    <row r="174" spans="1:17">
      <c r="A174" s="200" t="s">
        <v>360</v>
      </c>
      <c r="B174" s="375" t="s">
        <v>27</v>
      </c>
      <c r="C174" s="375" t="s">
        <v>27</v>
      </c>
      <c r="D174" s="379">
        <v>0.02</v>
      </c>
      <c r="E174" s="59"/>
      <c r="F174" s="375">
        <v>28</v>
      </c>
      <c r="G174" s="325">
        <f>D174*F174</f>
        <v>0.56000000000000005</v>
      </c>
    </row>
    <row r="175" spans="1:17">
      <c r="A175" s="218" t="s">
        <v>359</v>
      </c>
      <c r="B175" s="1" t="s">
        <v>27</v>
      </c>
      <c r="C175" s="1" t="s">
        <v>27</v>
      </c>
      <c r="D175" s="379">
        <v>0.02</v>
      </c>
      <c r="E175" s="3" t="s">
        <v>27</v>
      </c>
      <c r="F175" s="1">
        <v>18</v>
      </c>
      <c r="G175" s="325">
        <f>D175*F175</f>
        <v>0.36</v>
      </c>
    </row>
    <row r="176" spans="1:17">
      <c r="A176" s="218" t="s">
        <v>8</v>
      </c>
      <c r="B176" s="1" t="s">
        <v>27</v>
      </c>
      <c r="C176" s="1" t="s">
        <v>27</v>
      </c>
      <c r="D176" s="379">
        <v>0.02</v>
      </c>
      <c r="E176" s="3" t="s">
        <v>27</v>
      </c>
      <c r="F176" s="1">
        <v>14</v>
      </c>
      <c r="G176" s="325">
        <f>D176*F176</f>
        <v>0.28000000000000003</v>
      </c>
    </row>
    <row r="177" spans="1:7">
      <c r="A177" s="8" t="s">
        <v>7</v>
      </c>
      <c r="B177" s="9"/>
      <c r="C177" s="9"/>
      <c r="D177" s="9"/>
      <c r="E177" s="9"/>
      <c r="F177" s="189"/>
      <c r="G177" s="326">
        <f>SUM(G174:G176)</f>
        <v>1.2000000000000002</v>
      </c>
    </row>
    <row r="178" spans="1:7" ht="15.75" thickBot="1"/>
    <row r="179" spans="1:7" ht="15.75" thickBot="1">
      <c r="F179" s="327" t="s">
        <v>364</v>
      </c>
      <c r="G179" s="328">
        <f>G171+G177</f>
        <v>7.3120000000000003</v>
      </c>
    </row>
  </sheetData>
  <mergeCells count="30">
    <mergeCell ref="I158:O158"/>
    <mergeCell ref="O88:T88"/>
    <mergeCell ref="O75:T75"/>
    <mergeCell ref="A134:G134"/>
    <mergeCell ref="A147:K147"/>
    <mergeCell ref="H75:M75"/>
    <mergeCell ref="O80:T80"/>
    <mergeCell ref="O84:T84"/>
    <mergeCell ref="A158:G158"/>
    <mergeCell ref="A75:F75"/>
    <mergeCell ref="N1:O1"/>
    <mergeCell ref="A40:G40"/>
    <mergeCell ref="J15:K15"/>
    <mergeCell ref="J16:K16"/>
    <mergeCell ref="J5:K5"/>
    <mergeCell ref="A1:G1"/>
    <mergeCell ref="A14:G14"/>
    <mergeCell ref="A27:G27"/>
    <mergeCell ref="A33:G33"/>
    <mergeCell ref="I33:O33"/>
    <mergeCell ref="L27:Q27"/>
    <mergeCell ref="A47:K47"/>
    <mergeCell ref="A110:G110"/>
    <mergeCell ref="A124:K124"/>
    <mergeCell ref="A98:B98"/>
    <mergeCell ref="A79:B79"/>
    <mergeCell ref="A67:B67"/>
    <mergeCell ref="C67:H67"/>
    <mergeCell ref="A58:B58"/>
    <mergeCell ref="C58:H58"/>
  </mergeCells>
  <pageMargins left="0.7" right="0.7" top="0.75" bottom="0.75" header="0.3" footer="0.3"/>
  <pageSetup paperSize="9" orientation="portrait" horizontalDpi="0" verticalDpi="0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A186"/>
  <sheetViews>
    <sheetView topLeftCell="A88" workbookViewId="0">
      <selection activeCell="Y98" sqref="Y98"/>
    </sheetView>
  </sheetViews>
  <sheetFormatPr defaultRowHeight="15"/>
  <cols>
    <col min="2" max="2" width="11" customWidth="1"/>
    <col min="22" max="22" width="14.42578125" customWidth="1"/>
    <col min="23" max="23" width="12.7109375" customWidth="1"/>
    <col min="24" max="24" width="11.28515625" customWidth="1"/>
    <col min="26" max="26" width="10" customWidth="1"/>
  </cols>
  <sheetData>
    <row r="1" spans="1:27" ht="18.75">
      <c r="A1" s="155" t="s">
        <v>199</v>
      </c>
    </row>
    <row r="3" spans="1:27" ht="17.25">
      <c r="C3" s="149" t="s">
        <v>200</v>
      </c>
      <c r="D3" s="83">
        <v>1.65</v>
      </c>
      <c r="E3" s="83"/>
      <c r="F3" s="83">
        <v>5.95</v>
      </c>
      <c r="G3" s="83"/>
      <c r="H3" s="83">
        <v>9.35</v>
      </c>
      <c r="I3" s="83">
        <v>10.85</v>
      </c>
      <c r="J3" s="83">
        <v>12.4</v>
      </c>
      <c r="K3" s="83"/>
      <c r="L3" s="83"/>
      <c r="M3" s="367">
        <v>16.8</v>
      </c>
      <c r="N3" s="83">
        <v>18.350000000000001</v>
      </c>
      <c r="O3" s="83">
        <v>19.850000000000001</v>
      </c>
      <c r="P3" s="83"/>
      <c r="Q3" s="83">
        <v>23.25</v>
      </c>
      <c r="R3" s="83"/>
      <c r="S3" s="83">
        <v>27.55</v>
      </c>
      <c r="U3" s="83" t="s">
        <v>202</v>
      </c>
      <c r="V3" s="83" t="s">
        <v>203</v>
      </c>
      <c r="W3" s="83" t="s">
        <v>204</v>
      </c>
      <c r="Y3" s="362" t="s">
        <v>213</v>
      </c>
      <c r="Z3" s="369" t="s">
        <v>390</v>
      </c>
      <c r="AA3" s="369" t="s">
        <v>392</v>
      </c>
    </row>
    <row r="4" spans="1:27">
      <c r="B4" s="149" t="s">
        <v>201</v>
      </c>
      <c r="U4" s="83"/>
    </row>
    <row r="5" spans="1:27">
      <c r="B5" s="83">
        <v>15.5</v>
      </c>
      <c r="D5" s="156">
        <f>S5</f>
        <v>10.185047901459853</v>
      </c>
      <c r="E5" s="83"/>
      <c r="F5" s="157">
        <f>Q5</f>
        <v>30.222585452355389</v>
      </c>
      <c r="G5" s="83"/>
      <c r="H5" s="83"/>
      <c r="I5" s="157">
        <f>N5</f>
        <v>16.871200355944332</v>
      </c>
      <c r="J5" s="83"/>
      <c r="K5" s="83"/>
      <c r="L5" s="83"/>
      <c r="M5" s="83"/>
      <c r="N5" s="157">
        <f>Rig_tip_pilastro!E32</f>
        <v>16.871200355944332</v>
      </c>
      <c r="O5" s="83"/>
      <c r="P5" s="83"/>
      <c r="Q5" s="157">
        <f>Rig_tip_pilastro!E30</f>
        <v>30.222585452355389</v>
      </c>
      <c r="R5" s="83"/>
      <c r="S5" s="156">
        <f>S17</f>
        <v>10.185047901459853</v>
      </c>
      <c r="U5" s="82">
        <f>2*(D5+F5+I5)</f>
        <v>114.55766741951915</v>
      </c>
      <c r="V5" s="95">
        <f>U5*B5</f>
        <v>1775.6438450025469</v>
      </c>
      <c r="W5" s="95">
        <f>U5*B5^2</f>
        <v>27522.479597539477</v>
      </c>
      <c r="Y5" s="367">
        <f>V19/U19</f>
        <v>7.7336669513588729</v>
      </c>
      <c r="Z5" s="363">
        <f>W19-U19*Y5^2</f>
        <v>14881.887696514634</v>
      </c>
      <c r="AA5" s="361">
        <f>SQRT(Y46/U19)</f>
        <v>8.7740127081959081</v>
      </c>
    </row>
    <row r="6" spans="1:27">
      <c r="B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U6" s="82"/>
      <c r="V6" s="95"/>
      <c r="W6" s="95"/>
    </row>
    <row r="7" spans="1:27">
      <c r="B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U7" s="82"/>
      <c r="V7" s="95"/>
      <c r="W7" s="95"/>
    </row>
    <row r="8" spans="1:27">
      <c r="B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U8" s="82"/>
      <c r="V8" s="95"/>
      <c r="W8" s="95"/>
    </row>
    <row r="9" spans="1:27">
      <c r="B9" s="83">
        <v>9.85</v>
      </c>
      <c r="D9" s="156">
        <f>S9</f>
        <v>10.185047901459853</v>
      </c>
      <c r="E9" s="83"/>
      <c r="F9" s="157">
        <f>Q9</f>
        <v>34.293983447366259</v>
      </c>
      <c r="G9" s="83"/>
      <c r="H9" s="156">
        <f>O9</f>
        <v>14.050672211142158</v>
      </c>
      <c r="I9" s="83"/>
      <c r="J9" s="157">
        <f>M9</f>
        <v>35.482634455961659</v>
      </c>
      <c r="K9" s="83"/>
      <c r="L9" s="83"/>
      <c r="M9" s="157">
        <f>Rig_tip_pilastro!E29</f>
        <v>35.482634455961659</v>
      </c>
      <c r="N9" s="83"/>
      <c r="O9" s="156">
        <f>Rig_tip_pilastro!E34</f>
        <v>14.050672211142158</v>
      </c>
      <c r="P9" s="83"/>
      <c r="Q9" s="157">
        <f>Q17</f>
        <v>34.293983447366259</v>
      </c>
      <c r="R9" s="83"/>
      <c r="S9" s="156">
        <f>S17</f>
        <v>10.185047901459853</v>
      </c>
      <c r="U9" s="82">
        <f>2*(D9+F9+H9+J9)</f>
        <v>188.02467603185985</v>
      </c>
      <c r="V9" s="95">
        <f>U9*B9</f>
        <v>1852.0430589138196</v>
      </c>
      <c r="W9" s="95">
        <f>U9*B9^2</f>
        <v>18242.624130301123</v>
      </c>
    </row>
    <row r="10" spans="1:27">
      <c r="B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U10" s="82"/>
      <c r="V10" s="95"/>
      <c r="W10" s="95"/>
    </row>
    <row r="11" spans="1:27">
      <c r="B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U11" s="82"/>
      <c r="V11" s="95"/>
      <c r="W11" s="95"/>
    </row>
    <row r="12" spans="1:27">
      <c r="B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U12" s="82"/>
      <c r="V12" s="95"/>
      <c r="W12" s="95"/>
    </row>
    <row r="13" spans="1:27">
      <c r="B13" s="83">
        <v>6.65</v>
      </c>
      <c r="D13" s="156">
        <f>S13</f>
        <v>10.185047901459853</v>
      </c>
      <c r="E13" s="83"/>
      <c r="F13" s="157">
        <f>Q13</f>
        <v>34.293983447366259</v>
      </c>
      <c r="G13" s="83"/>
      <c r="H13" s="156">
        <f>O13</f>
        <v>11.676582112970708</v>
      </c>
      <c r="I13" s="83"/>
      <c r="J13" s="156">
        <f>M13</f>
        <v>8.7469458670453157</v>
      </c>
      <c r="K13" s="83"/>
      <c r="L13" s="83"/>
      <c r="M13" s="156">
        <f>Rig_tip_pilastro!E39</f>
        <v>8.7469458670453157</v>
      </c>
      <c r="N13" s="83"/>
      <c r="O13" s="156">
        <f>M17</f>
        <v>11.676582112970708</v>
      </c>
      <c r="P13" s="83"/>
      <c r="Q13" s="157">
        <f>Q17</f>
        <v>34.293983447366259</v>
      </c>
      <c r="R13" s="83"/>
      <c r="S13" s="156">
        <f>S17</f>
        <v>10.185047901459853</v>
      </c>
      <c r="U13" s="82">
        <f>2*(D13+F13+H13+J13)</f>
        <v>129.80511865768426</v>
      </c>
      <c r="V13" s="95">
        <f>U13*B13</f>
        <v>863.20403907360037</v>
      </c>
      <c r="W13" s="95">
        <f>U13*B13^2</f>
        <v>5740.306859839443</v>
      </c>
    </row>
    <row r="14" spans="1:27">
      <c r="B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141"/>
      <c r="U14" s="82"/>
      <c r="V14" s="95"/>
      <c r="W14" s="95"/>
    </row>
    <row r="15" spans="1:27">
      <c r="B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U15" s="82"/>
      <c r="V15" s="95"/>
      <c r="W15" s="95"/>
    </row>
    <row r="16" spans="1:27" ht="15.75" thickBot="1">
      <c r="B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U16" s="82"/>
      <c r="V16" s="95"/>
      <c r="W16" s="95"/>
    </row>
    <row r="17" spans="1:25" ht="15.75" thickBot="1">
      <c r="B17" s="83">
        <v>1.65</v>
      </c>
      <c r="D17" s="156">
        <f>S17</f>
        <v>10.185047901459853</v>
      </c>
      <c r="E17" s="83"/>
      <c r="F17" s="157">
        <f>Q17</f>
        <v>34.293983447366259</v>
      </c>
      <c r="G17" s="83"/>
      <c r="H17" s="157">
        <f>O17</f>
        <v>38.109106012941943</v>
      </c>
      <c r="I17" s="83"/>
      <c r="J17" s="156">
        <f>M17</f>
        <v>11.676582112970708</v>
      </c>
      <c r="K17" s="83"/>
      <c r="L17" s="83"/>
      <c r="M17" s="156">
        <f>Rig_tip_pilastro!E36</f>
        <v>11.676582112970708</v>
      </c>
      <c r="N17" s="83"/>
      <c r="O17" s="167">
        <f>Rig_tip_pilastro!E27</f>
        <v>38.109106012941943</v>
      </c>
      <c r="P17" s="83"/>
      <c r="Q17" s="157">
        <f>Rig_tip_pilastro!E28</f>
        <v>34.293983447366259</v>
      </c>
      <c r="R17" s="83"/>
      <c r="S17" s="156">
        <f>Rig_tip_pilastro!E37</f>
        <v>10.185047901459853</v>
      </c>
      <c r="U17" s="82">
        <f>2*(D17+F17+H17+J17)</f>
        <v>188.52943894947751</v>
      </c>
      <c r="V17" s="95">
        <f>U17*B17</f>
        <v>311.07357426663788</v>
      </c>
      <c r="W17" s="95">
        <f>U17*B17^2</f>
        <v>513.27139753995243</v>
      </c>
    </row>
    <row r="19" spans="1:25">
      <c r="U19" s="82">
        <f>U5+U9+U13+U17</f>
        <v>620.91690105854082</v>
      </c>
      <c r="V19" s="95">
        <f>V5+V9+V13+V17</f>
        <v>4801.9645172566043</v>
      </c>
      <c r="W19" s="95">
        <f>W5+W9+W13+W17</f>
        <v>52018.681985219999</v>
      </c>
    </row>
    <row r="22" spans="1:25" ht="18.75">
      <c r="A22" s="155" t="s">
        <v>205</v>
      </c>
    </row>
    <row r="24" spans="1:25">
      <c r="C24" s="150" t="s">
        <v>200</v>
      </c>
      <c r="D24" s="388">
        <v>1.65</v>
      </c>
      <c r="E24" s="388"/>
      <c r="F24" s="388">
        <v>5.95</v>
      </c>
      <c r="G24" s="388"/>
      <c r="H24" s="388">
        <v>9.35</v>
      </c>
      <c r="I24" s="388">
        <v>10.85</v>
      </c>
      <c r="J24" s="388">
        <v>12.4</v>
      </c>
      <c r="K24" s="388"/>
      <c r="L24" s="388"/>
      <c r="M24" s="387">
        <v>16.8</v>
      </c>
      <c r="N24" s="388">
        <v>18.350000000000001</v>
      </c>
      <c r="O24" s="388">
        <v>19.850000000000001</v>
      </c>
      <c r="P24" s="388"/>
      <c r="Q24" s="388">
        <v>23.25</v>
      </c>
      <c r="R24" s="388"/>
      <c r="S24" s="388">
        <v>27.55</v>
      </c>
    </row>
    <row r="25" spans="1:25">
      <c r="B25" s="150" t="s">
        <v>201</v>
      </c>
      <c r="U25" s="83"/>
    </row>
    <row r="26" spans="1:25">
      <c r="B26" s="388">
        <v>15.5</v>
      </c>
      <c r="D26" s="156">
        <f>D38</f>
        <v>17.773792909041276</v>
      </c>
      <c r="E26" s="83"/>
      <c r="F26" s="157">
        <f>F38</f>
        <v>9.8820932188385253</v>
      </c>
      <c r="G26" s="83"/>
      <c r="H26" s="83"/>
      <c r="I26" s="157">
        <f>Rig_tip_pilastro!E92</f>
        <v>1.9493779601405787</v>
      </c>
      <c r="J26" s="83"/>
      <c r="K26" s="83"/>
      <c r="L26" s="83"/>
      <c r="M26" s="83"/>
      <c r="N26" s="157">
        <f>I26</f>
        <v>1.9493779601405787</v>
      </c>
      <c r="O26" s="83"/>
      <c r="P26" s="83"/>
      <c r="Q26" s="157">
        <f>F26</f>
        <v>9.8820932188385253</v>
      </c>
      <c r="R26" s="83"/>
      <c r="S26" s="156">
        <f>D26</f>
        <v>17.773792909041276</v>
      </c>
      <c r="U26" s="82"/>
      <c r="V26" s="95"/>
      <c r="W26" s="95"/>
    </row>
    <row r="27" spans="1:25">
      <c r="B27" s="388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U27" s="82"/>
      <c r="W27" s="95"/>
    </row>
    <row r="28" spans="1:25">
      <c r="B28" s="388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U28" s="82"/>
      <c r="W28" s="95"/>
    </row>
    <row r="29" spans="1:25">
      <c r="B29" s="388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U29" s="82"/>
      <c r="W29" s="95"/>
      <c r="Y29" s="95"/>
    </row>
    <row r="30" spans="1:25">
      <c r="B30" s="388">
        <v>9.85</v>
      </c>
      <c r="D30" s="156">
        <f>D38</f>
        <v>17.773792909041276</v>
      </c>
      <c r="E30" s="83"/>
      <c r="F30" s="157">
        <f>F38</f>
        <v>9.8820932188385253</v>
      </c>
      <c r="G30" s="83"/>
      <c r="H30" s="156">
        <f>H34</f>
        <v>21.631304278189067</v>
      </c>
      <c r="I30" s="83"/>
      <c r="J30" s="157">
        <f>Rig_tip_pilastro!E89</f>
        <v>10.969744988207545</v>
      </c>
      <c r="K30" s="83"/>
      <c r="L30" s="83"/>
      <c r="M30" s="157">
        <f>J30</f>
        <v>10.969744988207545</v>
      </c>
      <c r="N30" s="83"/>
      <c r="O30" s="156">
        <f>H30</f>
        <v>21.631304278189067</v>
      </c>
      <c r="P30" s="83"/>
      <c r="Q30" s="157">
        <f>F30</f>
        <v>9.8820932188385253</v>
      </c>
      <c r="R30" s="83"/>
      <c r="S30" s="156">
        <f>D30</f>
        <v>17.773792909041276</v>
      </c>
      <c r="U30" s="82"/>
      <c r="W30" s="95"/>
      <c r="Y30" s="95"/>
    </row>
    <row r="31" spans="1:25">
      <c r="B31" s="388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U31" s="82"/>
      <c r="W31" s="95"/>
    </row>
    <row r="32" spans="1:25">
      <c r="B32" s="388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U32" s="82"/>
      <c r="W32" s="95"/>
    </row>
    <row r="33" spans="1:25" ht="15.75" thickBot="1">
      <c r="B33" s="388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U33" s="82"/>
      <c r="W33" s="95"/>
      <c r="Y33" s="95"/>
    </row>
    <row r="34" spans="1:25" ht="15.75" thickBot="1">
      <c r="B34" s="388">
        <v>6.65</v>
      </c>
      <c r="D34" s="156">
        <f>D38</f>
        <v>17.773792909041276</v>
      </c>
      <c r="E34" s="83"/>
      <c r="F34" s="157">
        <f>F38</f>
        <v>9.8820932188385253</v>
      </c>
      <c r="G34" s="83"/>
      <c r="H34" s="156">
        <f>Rig_tip_pilastro!E86</f>
        <v>21.631304278189067</v>
      </c>
      <c r="I34" s="83"/>
      <c r="J34" s="168">
        <f>Rig_tip_pilastro!E83</f>
        <v>32.925314647198725</v>
      </c>
      <c r="K34" s="83"/>
      <c r="L34" s="83"/>
      <c r="M34" s="156">
        <f>J34</f>
        <v>32.925314647198725</v>
      </c>
      <c r="N34" s="83"/>
      <c r="O34" s="156">
        <f>H34</f>
        <v>21.631304278189067</v>
      </c>
      <c r="P34" s="83"/>
      <c r="Q34" s="157">
        <f>F34</f>
        <v>9.8820932188385253</v>
      </c>
      <c r="R34" s="83"/>
      <c r="S34" s="156">
        <f>D34</f>
        <v>17.773792909041276</v>
      </c>
      <c r="U34" s="82"/>
      <c r="W34" s="95"/>
      <c r="Y34" s="95"/>
    </row>
    <row r="35" spans="1:25">
      <c r="B35" s="388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153"/>
      <c r="U35" s="82"/>
      <c r="W35" s="95"/>
      <c r="Y35" s="95"/>
    </row>
    <row r="36" spans="1:25">
      <c r="B36" s="388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U36" s="82"/>
      <c r="W36" s="95"/>
      <c r="Y36" s="95"/>
    </row>
    <row r="37" spans="1:25">
      <c r="B37" s="388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U37" s="82"/>
      <c r="W37" s="95"/>
      <c r="Y37" s="95"/>
    </row>
    <row r="38" spans="1:25">
      <c r="B38" s="388">
        <v>1.65</v>
      </c>
      <c r="D38" s="156">
        <f>Rig_tip_pilastro!E85</f>
        <v>17.773792909041276</v>
      </c>
      <c r="E38" s="83"/>
      <c r="F38" s="157">
        <f>Rig_tip_pilastro!E88</f>
        <v>9.8820932188385253</v>
      </c>
      <c r="G38" s="83"/>
      <c r="H38" s="157">
        <f>Rig_tip_pilastro!E91</f>
        <v>2.1916064954831178</v>
      </c>
      <c r="I38" s="83"/>
      <c r="J38" s="156">
        <f>D38</f>
        <v>17.773792909041276</v>
      </c>
      <c r="K38" s="83"/>
      <c r="L38" s="83"/>
      <c r="M38" s="156">
        <f>J38</f>
        <v>17.773792909041276</v>
      </c>
      <c r="N38" s="83"/>
      <c r="O38" s="157">
        <f>H38</f>
        <v>2.1916064954831178</v>
      </c>
      <c r="P38" s="83"/>
      <c r="Q38" s="157">
        <f>F38</f>
        <v>9.8820932188385253</v>
      </c>
      <c r="R38" s="83"/>
      <c r="S38" s="156">
        <f>D38</f>
        <v>17.773792909041276</v>
      </c>
      <c r="U38" s="82"/>
      <c r="W38" s="95"/>
      <c r="Y38" s="95"/>
    </row>
    <row r="40" spans="1:25">
      <c r="U40" s="82"/>
      <c r="W40" s="95"/>
      <c r="Y40" s="95"/>
    </row>
    <row r="41" spans="1:25">
      <c r="B41" s="83" t="s">
        <v>202</v>
      </c>
      <c r="D41" s="82">
        <f>D26+D30+D34+D38</f>
        <v>71.095171636165105</v>
      </c>
      <c r="E41" s="83"/>
      <c r="F41" s="82">
        <f>F26+F30+F34+F38</f>
        <v>39.528372875354101</v>
      </c>
      <c r="G41" s="83"/>
      <c r="H41" s="82">
        <f>H30+H34+H38</f>
        <v>45.454215051861254</v>
      </c>
      <c r="I41" s="82">
        <f>I26</f>
        <v>1.9493779601405787</v>
      </c>
      <c r="J41" s="82">
        <f>J30+J34+J38</f>
        <v>61.668852544447546</v>
      </c>
      <c r="K41" s="83"/>
      <c r="L41" s="83"/>
      <c r="M41" s="82">
        <f>J41</f>
        <v>61.668852544447546</v>
      </c>
      <c r="N41" s="82">
        <f>I41</f>
        <v>1.9493779601405787</v>
      </c>
      <c r="O41" s="82">
        <f>H41</f>
        <v>45.454215051861254</v>
      </c>
      <c r="P41" s="83"/>
      <c r="Q41" s="82">
        <f>F41</f>
        <v>39.528372875354101</v>
      </c>
      <c r="R41" s="83"/>
      <c r="S41" s="82">
        <f>D41</f>
        <v>71.095171636165105</v>
      </c>
      <c r="U41" s="82">
        <f>D41+F41+H41+I41+J41+M41+N41+O41+Q41+S41</f>
        <v>439.3919801359371</v>
      </c>
      <c r="W41" s="95" t="s">
        <v>214</v>
      </c>
      <c r="X41" s="369" t="s">
        <v>390</v>
      </c>
      <c r="Y41" s="95" t="s">
        <v>391</v>
      </c>
    </row>
    <row r="42" spans="1:25">
      <c r="U42" s="83"/>
    </row>
    <row r="43" spans="1:25">
      <c r="B43" s="83" t="s">
        <v>206</v>
      </c>
      <c r="D43" s="95">
        <f>D41*D24</f>
        <v>117.30703319967242</v>
      </c>
      <c r="E43" s="95"/>
      <c r="F43" s="95">
        <f>F41*F24</f>
        <v>235.19381860835691</v>
      </c>
      <c r="G43" s="95"/>
      <c r="H43" s="95">
        <f>H41*H24</f>
        <v>424.99691073490271</v>
      </c>
      <c r="I43" s="95">
        <f>I41*I24</f>
        <v>21.150750867525279</v>
      </c>
      <c r="J43" s="95">
        <f>J41*J24</f>
        <v>764.69377155114955</v>
      </c>
      <c r="K43" s="95"/>
      <c r="L43" s="95"/>
      <c r="M43" s="95">
        <f>M41*M24</f>
        <v>1036.0367227467189</v>
      </c>
      <c r="N43" s="95">
        <f>N41*N24</f>
        <v>35.771085568579622</v>
      </c>
      <c r="O43" s="95">
        <f>O41*O24</f>
        <v>902.26616877944593</v>
      </c>
      <c r="P43" s="95"/>
      <c r="Q43" s="95">
        <f>Q41*Q24</f>
        <v>919.03466935198287</v>
      </c>
      <c r="R43" s="95"/>
      <c r="S43" s="95">
        <f>S41*S24</f>
        <v>1958.6719785763487</v>
      </c>
      <c r="U43" s="95">
        <f>D43+F43+H43+I43+J43+M43+N43+O43+Q43+S43</f>
        <v>6415.1229099846832</v>
      </c>
      <c r="W43" s="361">
        <f>U43/U41</f>
        <v>14.600000000000003</v>
      </c>
      <c r="X43" s="95">
        <f>U45-U41*W43^2</f>
        <v>32918.343754053363</v>
      </c>
      <c r="Y43" s="361">
        <f>SQRT(Y46/U41)</f>
        <v>10.430111156091971</v>
      </c>
    </row>
    <row r="44" spans="1:25">
      <c r="U44" s="83"/>
    </row>
    <row r="45" spans="1:25" ht="17.25">
      <c r="B45" s="83" t="s">
        <v>207</v>
      </c>
      <c r="D45" s="95">
        <f>D41*D24^2</f>
        <v>193.55660477945949</v>
      </c>
      <c r="E45" s="95"/>
      <c r="F45" s="95">
        <f>F41*F24^2</f>
        <v>1399.4032207197238</v>
      </c>
      <c r="G45" s="95"/>
      <c r="H45" s="95">
        <f>H41*H24^2</f>
        <v>3973.7211153713406</v>
      </c>
      <c r="I45" s="95">
        <f>I41*I24^2</f>
        <v>229.48564691264929</v>
      </c>
      <c r="J45" s="95">
        <f>J41*J24^2</f>
        <v>9482.2027672342556</v>
      </c>
      <c r="M45" s="95">
        <f>M41*M24^2</f>
        <v>17405.416942144875</v>
      </c>
      <c r="N45" s="95">
        <f>N41*N24^2</f>
        <v>656.39942018343606</v>
      </c>
      <c r="O45" s="95">
        <f>O41*O24^2</f>
        <v>17909.983450272004</v>
      </c>
      <c r="P45" s="95"/>
      <c r="Q45" s="95">
        <f>Q41*Q24^2</f>
        <v>21367.556062433603</v>
      </c>
      <c r="R45" s="95"/>
      <c r="S45" s="95">
        <f>S41*S24^2</f>
        <v>53961.413009778407</v>
      </c>
      <c r="T45" s="95"/>
      <c r="U45" s="95">
        <f>D45+F45+H45+I45+J45+M45+N45+O45+Q45+S45</f>
        <v>126579.13823982976</v>
      </c>
    </row>
    <row r="46" spans="1:25">
      <c r="B46" s="83"/>
      <c r="D46" s="95"/>
      <c r="E46" s="95"/>
      <c r="F46" s="95"/>
      <c r="G46" s="95"/>
      <c r="H46" s="95"/>
      <c r="I46" s="95"/>
      <c r="J46" s="95"/>
      <c r="M46" s="95"/>
      <c r="N46" s="95"/>
      <c r="O46" s="95"/>
      <c r="P46" s="95"/>
      <c r="Q46" s="95"/>
      <c r="R46" s="95"/>
      <c r="S46" s="95"/>
      <c r="T46" s="95"/>
      <c r="U46" s="95"/>
      <c r="X46" s="94" t="s">
        <v>388</v>
      </c>
      <c r="Y46" s="363">
        <f>Z5+X43</f>
        <v>47800.231450567997</v>
      </c>
    </row>
    <row r="48" spans="1:25" ht="18.75">
      <c r="A48" s="155" t="s">
        <v>208</v>
      </c>
    </row>
    <row r="50" spans="2:27" ht="17.25">
      <c r="C50" s="150" t="s">
        <v>200</v>
      </c>
      <c r="D50" s="388">
        <v>1.65</v>
      </c>
      <c r="E50" s="388"/>
      <c r="F50" s="388">
        <v>5.95</v>
      </c>
      <c r="G50" s="388"/>
      <c r="H50" s="388">
        <v>9.35</v>
      </c>
      <c r="I50" s="388">
        <v>10.85</v>
      </c>
      <c r="J50" s="388">
        <v>12.4</v>
      </c>
      <c r="K50" s="388"/>
      <c r="L50" s="388"/>
      <c r="M50" s="387">
        <v>16.8</v>
      </c>
      <c r="N50" s="388">
        <v>18.350000000000001</v>
      </c>
      <c r="O50" s="388">
        <v>19.850000000000001</v>
      </c>
      <c r="P50" s="388"/>
      <c r="Q50" s="398">
        <v>23.25</v>
      </c>
      <c r="R50" s="388"/>
      <c r="S50" s="388">
        <v>27.55</v>
      </c>
      <c r="U50" s="83" t="s">
        <v>202</v>
      </c>
      <c r="V50" s="83" t="s">
        <v>203</v>
      </c>
      <c r="W50" s="83" t="s">
        <v>204</v>
      </c>
      <c r="Y50" s="369" t="s">
        <v>213</v>
      </c>
      <c r="Z50" s="369" t="s">
        <v>390</v>
      </c>
      <c r="AA50" s="369" t="s">
        <v>392</v>
      </c>
    </row>
    <row r="51" spans="2:27">
      <c r="B51" s="150" t="s">
        <v>201</v>
      </c>
      <c r="U51" s="83"/>
      <c r="Y51" s="368"/>
      <c r="Z51" s="368"/>
      <c r="AA51" s="368"/>
    </row>
    <row r="52" spans="2:27">
      <c r="B52" s="388">
        <v>15.5</v>
      </c>
      <c r="D52" s="156">
        <f>S52</f>
        <v>9.0095980925514016</v>
      </c>
      <c r="E52" s="83"/>
      <c r="F52" s="157">
        <f>Q52</f>
        <v>36.769247132588475</v>
      </c>
      <c r="G52" s="83"/>
      <c r="H52" s="83"/>
      <c r="I52" s="157">
        <f>N52</f>
        <v>28.614491973976044</v>
      </c>
      <c r="J52" s="83"/>
      <c r="K52" s="83"/>
      <c r="L52" s="83"/>
      <c r="M52" s="83"/>
      <c r="N52" s="157">
        <f>Rig_tip_pilastro!E51</f>
        <v>28.614491973976044</v>
      </c>
      <c r="O52" s="83"/>
      <c r="P52" s="83"/>
      <c r="Q52" s="157">
        <f>Rig_tip_pilastro!E49</f>
        <v>36.769247132588475</v>
      </c>
      <c r="R52" s="83"/>
      <c r="S52" s="156">
        <f>S64</f>
        <v>9.0095980925514016</v>
      </c>
      <c r="U52" s="82">
        <f>2*(D52+F52+I52)</f>
        <v>148.78667439823184</v>
      </c>
      <c r="V52" s="95">
        <f>U52*B52</f>
        <v>2306.1934531725933</v>
      </c>
      <c r="W52" s="95">
        <f>U52*B52^2</f>
        <v>35745.9985241752</v>
      </c>
      <c r="Y52" s="367">
        <f>V66/U66</f>
        <v>8.084882682893042</v>
      </c>
      <c r="Z52" s="363">
        <f>W66-U66*Y52^2</f>
        <v>17218.258586856406</v>
      </c>
      <c r="AA52" s="367">
        <f>SQRT(Y94/U66)</f>
        <v>9.9653056273802356</v>
      </c>
    </row>
    <row r="53" spans="2:27">
      <c r="B53" s="388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U53" s="82"/>
      <c r="V53" s="95"/>
      <c r="W53" s="95"/>
    </row>
    <row r="54" spans="2:27">
      <c r="B54" s="388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U54" s="82"/>
      <c r="V54" s="95"/>
      <c r="W54" s="95"/>
    </row>
    <row r="55" spans="2:27">
      <c r="B55" s="388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U55" s="82"/>
      <c r="V55" s="95"/>
      <c r="W55" s="95"/>
    </row>
    <row r="56" spans="2:27">
      <c r="B56" s="388">
        <v>9.85</v>
      </c>
      <c r="D56" s="156">
        <f>S56</f>
        <v>9.0095980925514016</v>
      </c>
      <c r="E56" s="83"/>
      <c r="F56" s="157">
        <f>Q56</f>
        <v>38.999595691256978</v>
      </c>
      <c r="G56" s="83"/>
      <c r="H56" s="156">
        <f>O56</f>
        <v>10.47922439554835</v>
      </c>
      <c r="I56" s="83"/>
      <c r="J56" s="157">
        <f>M56</f>
        <v>39.630623062319806</v>
      </c>
      <c r="K56" s="83"/>
      <c r="L56" s="83"/>
      <c r="M56" s="157">
        <f>Rig_tip_pilastro!E48</f>
        <v>39.630623062319806</v>
      </c>
      <c r="N56" s="83"/>
      <c r="O56" s="156">
        <f>Rig_tip_pilastro!E53</f>
        <v>10.47922439554835</v>
      </c>
      <c r="P56" s="83"/>
      <c r="Q56" s="157">
        <f>Q64</f>
        <v>38.999595691256978</v>
      </c>
      <c r="R56" s="83"/>
      <c r="S56" s="156">
        <f>S64</f>
        <v>9.0095980925514016</v>
      </c>
      <c r="U56" s="82">
        <f>2*(D56+F56+H56+J56)</f>
        <v>196.23808248335308</v>
      </c>
      <c r="V56" s="95">
        <f>U56*B56</f>
        <v>1932.9451124610277</v>
      </c>
      <c r="W56" s="95">
        <f>U56*B56^2</f>
        <v>19039.509357741124</v>
      </c>
    </row>
    <row r="57" spans="2:27">
      <c r="B57" s="388"/>
      <c r="D57" s="83"/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U57" s="82"/>
      <c r="V57" s="95"/>
      <c r="W57" s="95"/>
    </row>
    <row r="58" spans="2:27">
      <c r="B58" s="388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U58" s="82"/>
      <c r="V58" s="95"/>
      <c r="W58" s="95"/>
    </row>
    <row r="59" spans="2:27">
      <c r="B59" s="388"/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U59" s="82"/>
      <c r="V59" s="95"/>
      <c r="W59" s="95"/>
    </row>
    <row r="60" spans="2:27">
      <c r="B60" s="388">
        <v>6.65</v>
      </c>
      <c r="D60" s="156">
        <f>S60</f>
        <v>9.0095980925514016</v>
      </c>
      <c r="E60" s="83"/>
      <c r="F60" s="157">
        <f>Q60</f>
        <v>38.999595691256978</v>
      </c>
      <c r="G60" s="83"/>
      <c r="H60" s="156">
        <f>O60</f>
        <v>9.6136140515386383</v>
      </c>
      <c r="I60" s="83"/>
      <c r="J60" s="156">
        <f>M60</f>
        <v>5.2661250566367297</v>
      </c>
      <c r="K60" s="83"/>
      <c r="L60" s="83"/>
      <c r="M60" s="156">
        <f>Rig_tip_pilastro!E58</f>
        <v>5.2661250566367297</v>
      </c>
      <c r="N60" s="83"/>
      <c r="O60" s="156">
        <f>M64</f>
        <v>9.6136140515386383</v>
      </c>
      <c r="P60" s="83"/>
      <c r="Q60" s="157">
        <f>Q64</f>
        <v>38.999595691256978</v>
      </c>
      <c r="R60" s="83"/>
      <c r="S60" s="156">
        <f>S64</f>
        <v>9.0095980925514016</v>
      </c>
      <c r="U60" s="82">
        <f>2*(D60+F60+H60+J60)</f>
        <v>125.7778657839675</v>
      </c>
      <c r="V60" s="95">
        <f>U60*B60</f>
        <v>836.42280746338395</v>
      </c>
      <c r="W60" s="95">
        <f>U60*B60^2</f>
        <v>5562.2116696315034</v>
      </c>
    </row>
    <row r="61" spans="2:27">
      <c r="B61" s="388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153"/>
      <c r="U61" s="82"/>
      <c r="V61" s="95"/>
      <c r="W61" s="95"/>
    </row>
    <row r="62" spans="2:27">
      <c r="B62" s="388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3"/>
      <c r="U62" s="82"/>
      <c r="V62" s="95"/>
      <c r="W62" s="95"/>
    </row>
    <row r="63" spans="2:27" ht="15.75" thickBot="1">
      <c r="B63" s="388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U63" s="82"/>
      <c r="V63" s="95"/>
      <c r="W63" s="95"/>
    </row>
    <row r="64" spans="2:27" ht="15.75" thickBot="1">
      <c r="B64" s="388">
        <v>1.65</v>
      </c>
      <c r="D64" s="156">
        <f>S64</f>
        <v>9.0095980925514016</v>
      </c>
      <c r="E64" s="83"/>
      <c r="F64" s="157">
        <f>Q64</f>
        <v>38.999595691256978</v>
      </c>
      <c r="G64" s="83"/>
      <c r="H64" s="157">
        <f>O64</f>
        <v>40.994172814644081</v>
      </c>
      <c r="I64" s="83"/>
      <c r="J64" s="156">
        <f>M64</f>
        <v>9.6136140515386383</v>
      </c>
      <c r="K64" s="83"/>
      <c r="L64" s="83"/>
      <c r="M64" s="156">
        <f>Rig_tip_pilastro!E55</f>
        <v>9.6136140515386383</v>
      </c>
      <c r="N64" s="83"/>
      <c r="O64" s="167">
        <f>Rig_tip_pilastro!E46</f>
        <v>40.994172814644081</v>
      </c>
      <c r="P64" s="83"/>
      <c r="Q64" s="157">
        <f>Rig_tip_pilastro!E47</f>
        <v>38.999595691256978</v>
      </c>
      <c r="R64" s="83"/>
      <c r="S64" s="156">
        <f>Rig_tip_pilastro!E56</f>
        <v>9.0095980925514016</v>
      </c>
      <c r="U64" s="82">
        <f>2*(D64+F64+H64+J64)</f>
        <v>197.23396129998218</v>
      </c>
      <c r="V64" s="95">
        <f>U64*B64</f>
        <v>325.43603614497056</v>
      </c>
      <c r="W64" s="95">
        <f>U64*B64^2</f>
        <v>536.96945963920143</v>
      </c>
    </row>
    <row r="66" spans="1:23">
      <c r="U66" s="82">
        <f>U52+U56+U60+U64</f>
        <v>668.03658396553465</v>
      </c>
      <c r="V66" s="95">
        <f>V52+V56+V60+V64</f>
        <v>5400.9974092419752</v>
      </c>
      <c r="W66" s="95">
        <f>W52+W56+W60+W64</f>
        <v>60884.689011187031</v>
      </c>
    </row>
    <row r="69" spans="1:23" ht="18.75">
      <c r="A69" s="155" t="s">
        <v>209</v>
      </c>
    </row>
    <row r="71" spans="1:23">
      <c r="C71" s="150" t="s">
        <v>200</v>
      </c>
      <c r="D71" s="388">
        <v>1.65</v>
      </c>
      <c r="E71" s="388"/>
      <c r="F71" s="388">
        <v>5.95</v>
      </c>
      <c r="G71" s="388"/>
      <c r="H71" s="388">
        <v>9.35</v>
      </c>
      <c r="I71" s="388">
        <v>10.85</v>
      </c>
      <c r="J71" s="388">
        <v>12.4</v>
      </c>
      <c r="K71" s="388"/>
      <c r="L71" s="388"/>
      <c r="M71" s="387">
        <v>16.8</v>
      </c>
      <c r="N71" s="388">
        <v>18.350000000000001</v>
      </c>
      <c r="O71" s="388">
        <v>19.850000000000001</v>
      </c>
      <c r="P71" s="388"/>
      <c r="Q71" s="398">
        <v>23.25</v>
      </c>
      <c r="R71" s="388"/>
      <c r="S71" s="388">
        <v>27.55</v>
      </c>
    </row>
    <row r="72" spans="1:23">
      <c r="B72" s="150" t="s">
        <v>201</v>
      </c>
      <c r="U72" s="83"/>
    </row>
    <row r="73" spans="1:23">
      <c r="B73" s="388">
        <v>15.5</v>
      </c>
      <c r="D73" s="156">
        <f>D85</f>
        <v>29.210787997055348</v>
      </c>
      <c r="E73" s="83"/>
      <c r="F73" s="157">
        <f>F85</f>
        <v>8.880553873297325</v>
      </c>
      <c r="G73" s="83"/>
      <c r="H73" s="83"/>
      <c r="I73" s="157">
        <f>Rig_tip_pilastro!E108</f>
        <v>4.4589457414320242</v>
      </c>
      <c r="J73" s="83"/>
      <c r="K73" s="83"/>
      <c r="L73" s="83"/>
      <c r="M73" s="83"/>
      <c r="N73" s="157">
        <f>I73</f>
        <v>4.4589457414320242</v>
      </c>
      <c r="O73" s="83"/>
      <c r="P73" s="83"/>
      <c r="Q73" s="157">
        <f>F73</f>
        <v>8.880553873297325</v>
      </c>
      <c r="R73" s="83"/>
      <c r="S73" s="156">
        <f>D73</f>
        <v>29.210787997055348</v>
      </c>
      <c r="U73" s="82"/>
      <c r="V73" s="95"/>
      <c r="W73" s="95"/>
    </row>
    <row r="74" spans="1:23">
      <c r="B74" s="388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U74" s="82"/>
      <c r="V74" s="95"/>
      <c r="W74" s="95"/>
    </row>
    <row r="75" spans="1:23">
      <c r="B75" s="388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U75" s="82"/>
      <c r="V75" s="95"/>
      <c r="W75" s="95"/>
    </row>
    <row r="76" spans="1:23">
      <c r="B76" s="388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U76" s="82"/>
      <c r="V76" s="95"/>
      <c r="W76" s="95"/>
    </row>
    <row r="77" spans="1:23">
      <c r="B77" s="388">
        <v>9.85</v>
      </c>
      <c r="D77" s="156">
        <f>D85</f>
        <v>29.210787997055348</v>
      </c>
      <c r="E77" s="83"/>
      <c r="F77" s="157">
        <f>F85</f>
        <v>8.880553873297325</v>
      </c>
      <c r="G77" s="83"/>
      <c r="H77" s="156">
        <f>H81</f>
        <v>31.681646431655569</v>
      </c>
      <c r="I77" s="83"/>
      <c r="J77" s="157">
        <f>Rig_tip_pilastro!E105</f>
        <v>9.3336612081509589</v>
      </c>
      <c r="K77" s="83"/>
      <c r="L77" s="83"/>
      <c r="M77" s="157">
        <f>J77</f>
        <v>9.3336612081509589</v>
      </c>
      <c r="N77" s="83"/>
      <c r="O77" s="156">
        <f>H77</f>
        <v>31.681646431655569</v>
      </c>
      <c r="P77" s="83"/>
      <c r="Q77" s="157">
        <f>F77</f>
        <v>8.880553873297325</v>
      </c>
      <c r="R77" s="83"/>
      <c r="S77" s="156">
        <f>D77</f>
        <v>29.210787997055348</v>
      </c>
      <c r="U77" s="82"/>
      <c r="V77" s="95"/>
      <c r="W77" s="95"/>
    </row>
    <row r="78" spans="1:23">
      <c r="B78" s="388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U78" s="82"/>
      <c r="V78" s="95"/>
      <c r="W78" s="95"/>
    </row>
    <row r="79" spans="1:23">
      <c r="B79" s="388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U79" s="82"/>
      <c r="V79" s="95"/>
      <c r="W79" s="95"/>
    </row>
    <row r="80" spans="1:23" ht="15.75" thickBot="1">
      <c r="B80" s="388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U80" s="82"/>
      <c r="V80" s="95"/>
      <c r="W80" s="95"/>
    </row>
    <row r="81" spans="1:27" ht="15.75" thickBot="1">
      <c r="B81" s="388">
        <v>6.65</v>
      </c>
      <c r="D81" s="156">
        <f>D85</f>
        <v>29.210787997055348</v>
      </c>
      <c r="E81" s="83"/>
      <c r="F81" s="157">
        <f>F85</f>
        <v>8.880553873297325</v>
      </c>
      <c r="G81" s="83"/>
      <c r="H81" s="156">
        <f>Rig_tip_pilastro!E102</f>
        <v>31.681646431655569</v>
      </c>
      <c r="I81" s="83"/>
      <c r="J81" s="168">
        <f>Rig_tip_pilastro!E99</f>
        <v>38.261915787682113</v>
      </c>
      <c r="K81" s="83"/>
      <c r="L81" s="83"/>
      <c r="M81" s="156">
        <f>J81</f>
        <v>38.261915787682113</v>
      </c>
      <c r="N81" s="83"/>
      <c r="O81" s="156">
        <f>H81</f>
        <v>31.681646431655569</v>
      </c>
      <c r="P81" s="83"/>
      <c r="Q81" s="157">
        <f>F81</f>
        <v>8.880553873297325</v>
      </c>
      <c r="R81" s="83"/>
      <c r="S81" s="156">
        <f>D81</f>
        <v>29.210787997055348</v>
      </c>
      <c r="U81" s="82"/>
      <c r="V81" s="95"/>
      <c r="W81" s="95"/>
    </row>
    <row r="82" spans="1:27">
      <c r="B82" s="388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153"/>
      <c r="U82" s="82"/>
      <c r="V82" s="95"/>
      <c r="W82" s="95"/>
    </row>
    <row r="83" spans="1:27">
      <c r="B83" s="388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U83" s="82"/>
      <c r="V83" s="95"/>
      <c r="W83" s="95"/>
    </row>
    <row r="84" spans="1:27">
      <c r="B84" s="388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U84" s="82"/>
      <c r="V84" s="95"/>
      <c r="W84" s="95"/>
    </row>
    <row r="85" spans="1:27">
      <c r="B85" s="388">
        <v>1.65</v>
      </c>
      <c r="D85" s="156">
        <f>Rig_tip_pilastro!E101</f>
        <v>29.210787997055348</v>
      </c>
      <c r="E85" s="83"/>
      <c r="F85" s="157">
        <f>Rig_tip_pilastro!E104</f>
        <v>8.880553873297325</v>
      </c>
      <c r="G85" s="83"/>
      <c r="H85" s="157">
        <f>Rig_tip_pilastro!E107</f>
        <v>4.6325153805373791</v>
      </c>
      <c r="I85" s="83"/>
      <c r="J85" s="156">
        <f>D85</f>
        <v>29.210787997055348</v>
      </c>
      <c r="K85" s="83"/>
      <c r="L85" s="83"/>
      <c r="M85" s="156">
        <f>J85</f>
        <v>29.210787997055348</v>
      </c>
      <c r="N85" s="83"/>
      <c r="O85" s="157">
        <f>H85</f>
        <v>4.6325153805373791</v>
      </c>
      <c r="P85" s="83"/>
      <c r="Q85" s="157">
        <f>F85</f>
        <v>8.880553873297325</v>
      </c>
      <c r="R85" s="83"/>
      <c r="S85" s="156">
        <f>D85</f>
        <v>29.210787997055348</v>
      </c>
      <c r="U85" s="82"/>
      <c r="V85" s="95"/>
      <c r="W85" s="95"/>
    </row>
    <row r="87" spans="1:27">
      <c r="U87" s="82"/>
      <c r="V87" s="95"/>
      <c r="W87" s="95"/>
    </row>
    <row r="88" spans="1:27">
      <c r="B88" s="83" t="s">
        <v>202</v>
      </c>
      <c r="D88" s="82">
        <f>D73+D77+D81+D85</f>
        <v>116.84315198822139</v>
      </c>
      <c r="E88" s="83"/>
      <c r="F88" s="82">
        <f>F73+F77+F81+F85</f>
        <v>35.5222154931893</v>
      </c>
      <c r="G88" s="83"/>
      <c r="H88" s="82">
        <f>H77+H81+H85</f>
        <v>67.995808243848515</v>
      </c>
      <c r="I88" s="82">
        <f>I73</f>
        <v>4.4589457414320242</v>
      </c>
      <c r="J88" s="82">
        <f>J77+J81+J85</f>
        <v>76.806364992888419</v>
      </c>
      <c r="K88" s="83"/>
      <c r="L88" s="83"/>
      <c r="M88" s="82">
        <f>J88</f>
        <v>76.806364992888419</v>
      </c>
      <c r="N88" s="82">
        <f>I88</f>
        <v>4.4589457414320242</v>
      </c>
      <c r="O88" s="82">
        <f>H88</f>
        <v>67.995808243848515</v>
      </c>
      <c r="P88" s="83"/>
      <c r="Q88" s="82">
        <f>F88</f>
        <v>35.5222154931893</v>
      </c>
      <c r="R88" s="83"/>
      <c r="S88" s="82">
        <f>D88</f>
        <v>116.84315198822139</v>
      </c>
      <c r="U88" s="82">
        <f>D88+F88+H88+I88+J88+M88+N88+O88+Q88+S88</f>
        <v>603.25297291915933</v>
      </c>
      <c r="W88" s="95" t="s">
        <v>214</v>
      </c>
      <c r="X88" s="369" t="s">
        <v>390</v>
      </c>
      <c r="Y88" s="95" t="s">
        <v>391</v>
      </c>
    </row>
    <row r="89" spans="1:27">
      <c r="U89" s="83"/>
      <c r="W89" s="368"/>
      <c r="X89" s="368"/>
      <c r="Y89" s="368"/>
    </row>
    <row r="90" spans="1:27">
      <c r="B90" s="83" t="s">
        <v>206</v>
      </c>
      <c r="D90" s="95">
        <f>D88*D71</f>
        <v>192.79120078056528</v>
      </c>
      <c r="E90" s="95"/>
      <c r="F90" s="95">
        <f>F88*F71</f>
        <v>211.35718218447633</v>
      </c>
      <c r="G90" s="95"/>
      <c r="H90" s="95">
        <f>H88*H71</f>
        <v>635.76080707998358</v>
      </c>
      <c r="I90" s="95">
        <f>I88*I71</f>
        <v>48.37956129453746</v>
      </c>
      <c r="J90" s="95">
        <f>J88*J71</f>
        <v>952.39892591181638</v>
      </c>
      <c r="K90" s="95"/>
      <c r="L90" s="95"/>
      <c r="M90" s="95">
        <f>M88*M71</f>
        <v>1290.3469318805255</v>
      </c>
      <c r="N90" s="95">
        <f>N88*N71</f>
        <v>81.821654355277644</v>
      </c>
      <c r="O90" s="95">
        <f>O88*O71</f>
        <v>1349.716793640393</v>
      </c>
      <c r="P90" s="95"/>
      <c r="Q90" s="95">
        <f>Q88*Q71</f>
        <v>825.89151021665123</v>
      </c>
      <c r="R90" s="95"/>
      <c r="S90" s="95">
        <f>S88*S71</f>
        <v>3219.0288372754994</v>
      </c>
      <c r="U90" s="95">
        <f>D90+F90+H90+I90+J90+M90+N90+O90+Q90+S90</f>
        <v>8807.4934046197268</v>
      </c>
      <c r="W90" s="367">
        <f>U90/U88</f>
        <v>14.600000000000001</v>
      </c>
      <c r="X90" s="95">
        <f>U92-U88*W90^2</f>
        <v>49122.661721638768</v>
      </c>
      <c r="Y90" s="367">
        <f>SQRT(Y94/U88)</f>
        <v>10.486752313825047</v>
      </c>
    </row>
    <row r="91" spans="1:27">
      <c r="U91" s="83"/>
      <c r="W91" s="368"/>
      <c r="X91" s="368"/>
      <c r="Y91" s="368"/>
    </row>
    <row r="92" spans="1:27" ht="17.25">
      <c r="B92" s="83" t="s">
        <v>207</v>
      </c>
      <c r="D92" s="95">
        <f>D88*D71^2</f>
        <v>318.10548128793272</v>
      </c>
      <c r="E92" s="95"/>
      <c r="F92" s="95">
        <f>F88*F71^2</f>
        <v>1257.5752339976343</v>
      </c>
      <c r="G92" s="95"/>
      <c r="H92" s="95">
        <f>H88*H71^2</f>
        <v>5944.3635461978465</v>
      </c>
      <c r="I92" s="95">
        <f>I88*I71^2</f>
        <v>524.91824004573141</v>
      </c>
      <c r="J92" s="95">
        <f>J88*J71^2</f>
        <v>11809.746681306524</v>
      </c>
      <c r="M92" s="95">
        <f>M88*M71^2</f>
        <v>21677.828455592829</v>
      </c>
      <c r="N92" s="95">
        <f>N88*N71^2</f>
        <v>1501.4273574193448</v>
      </c>
      <c r="O92" s="95">
        <f>O88*O71^2</f>
        <v>26791.878353761804</v>
      </c>
      <c r="P92" s="95"/>
      <c r="Q92" s="95">
        <f>Q88*Q71^2</f>
        <v>19201.977612537143</v>
      </c>
      <c r="R92" s="95"/>
      <c r="S92" s="95">
        <f>S88*S71^2</f>
        <v>88684.244466940014</v>
      </c>
      <c r="T92" s="95"/>
      <c r="U92" s="95">
        <f>D92+F92+H92+I92+J92+M92+N92+O92+Q92+S92</f>
        <v>177712.0654290868</v>
      </c>
      <c r="W92" s="368"/>
      <c r="X92" s="368"/>
      <c r="Y92" s="368"/>
    </row>
    <row r="93" spans="1:27">
      <c r="W93" s="368"/>
      <c r="X93" s="368"/>
      <c r="Y93" s="368"/>
    </row>
    <row r="94" spans="1:27" ht="18.75">
      <c r="A94" s="155" t="s">
        <v>216</v>
      </c>
      <c r="W94" s="368"/>
      <c r="X94" s="94" t="s">
        <v>388</v>
      </c>
      <c r="Y94" s="363">
        <f>Z52+X90</f>
        <v>66340.920308495173</v>
      </c>
    </row>
    <row r="96" spans="1:27" ht="17.25">
      <c r="C96" s="159" t="s">
        <v>200</v>
      </c>
      <c r="D96" s="388">
        <v>1.65</v>
      </c>
      <c r="E96" s="388"/>
      <c r="F96" s="388">
        <v>5.95</v>
      </c>
      <c r="G96" s="388"/>
      <c r="H96" s="388">
        <v>9.35</v>
      </c>
      <c r="I96" s="388">
        <v>10.85</v>
      </c>
      <c r="J96" s="388">
        <v>12.4</v>
      </c>
      <c r="K96" s="388"/>
      <c r="L96" s="388"/>
      <c r="M96" s="387">
        <v>16.8</v>
      </c>
      <c r="N96" s="388">
        <v>18.350000000000001</v>
      </c>
      <c r="O96" s="388">
        <v>19.850000000000001</v>
      </c>
      <c r="P96" s="388"/>
      <c r="Q96" s="398">
        <v>23.25</v>
      </c>
      <c r="R96" s="388"/>
      <c r="S96" s="388">
        <v>27.55</v>
      </c>
      <c r="U96" s="83" t="s">
        <v>202</v>
      </c>
      <c r="V96" s="83" t="s">
        <v>203</v>
      </c>
      <c r="W96" s="83" t="s">
        <v>204</v>
      </c>
      <c r="Y96" s="369" t="s">
        <v>213</v>
      </c>
      <c r="Z96" s="369" t="s">
        <v>390</v>
      </c>
      <c r="AA96" s="369" t="s">
        <v>392</v>
      </c>
    </row>
    <row r="97" spans="2:27">
      <c r="B97" s="159" t="s">
        <v>201</v>
      </c>
      <c r="U97" s="83"/>
      <c r="Y97" s="368"/>
      <c r="Z97" s="368"/>
      <c r="AA97" s="368"/>
    </row>
    <row r="98" spans="2:27">
      <c r="B98" s="388">
        <v>15.5</v>
      </c>
      <c r="D98" s="156">
        <f>S98</f>
        <v>8.8663376723703475</v>
      </c>
      <c r="E98" s="83"/>
      <c r="F98" s="157">
        <f>Q98</f>
        <v>24.803062710960912</v>
      </c>
      <c r="G98" s="83"/>
      <c r="H98" s="83"/>
      <c r="I98" s="157">
        <f>N98</f>
        <v>13.53553068463809</v>
      </c>
      <c r="J98" s="83"/>
      <c r="K98" s="83"/>
      <c r="L98" s="83"/>
      <c r="M98" s="83"/>
      <c r="N98" s="157">
        <f>Rig_tip_pilastro!M13</f>
        <v>13.53553068463809</v>
      </c>
      <c r="O98" s="83"/>
      <c r="P98" s="83"/>
      <c r="Q98" s="157">
        <f>Rig_tip_pilastro!M11</f>
        <v>24.803062710960912</v>
      </c>
      <c r="R98" s="83"/>
      <c r="S98" s="156">
        <f>S110</f>
        <v>8.8663376723703475</v>
      </c>
      <c r="U98" s="82">
        <f>2*(D98+F98+I98)</f>
        <v>94.409862135938695</v>
      </c>
      <c r="V98" s="95">
        <f>U98*B98</f>
        <v>1463.3528631070499</v>
      </c>
      <c r="W98" s="95">
        <f>U98*B98^2</f>
        <v>22681.969378159272</v>
      </c>
      <c r="Y98" s="367">
        <f>V112/U112</f>
        <v>7.6990457367445977</v>
      </c>
      <c r="Z98" s="363">
        <f>W112-U112*Y98^2</f>
        <v>12419.865637797076</v>
      </c>
      <c r="AA98" s="367">
        <f>SQRT(Y139/U112)</f>
        <v>8.648508708503142</v>
      </c>
    </row>
    <row r="99" spans="2:27">
      <c r="B99" s="388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83"/>
      <c r="O99" s="83"/>
      <c r="P99" s="83"/>
      <c r="Q99" s="83"/>
      <c r="R99" s="83"/>
      <c r="S99" s="83"/>
      <c r="U99" s="82"/>
      <c r="V99" s="95"/>
      <c r="W99" s="95"/>
    </row>
    <row r="100" spans="2:27">
      <c r="B100" s="388"/>
      <c r="D100" s="83"/>
      <c r="E100" s="83"/>
      <c r="F100" s="83"/>
      <c r="G100" s="83"/>
      <c r="H100" s="83"/>
      <c r="I100" s="83"/>
      <c r="J100" s="83"/>
      <c r="K100" s="83"/>
      <c r="L100" s="83"/>
      <c r="M100" s="83"/>
      <c r="N100" s="83"/>
      <c r="O100" s="83"/>
      <c r="P100" s="83"/>
      <c r="Q100" s="83"/>
      <c r="R100" s="83"/>
      <c r="S100" s="83"/>
      <c r="U100" s="82"/>
      <c r="V100" s="95"/>
      <c r="W100" s="95"/>
    </row>
    <row r="101" spans="2:27">
      <c r="B101" s="388"/>
      <c r="D101" s="83"/>
      <c r="E101" s="83"/>
      <c r="F101" s="83"/>
      <c r="G101" s="83"/>
      <c r="H101" s="83"/>
      <c r="I101" s="83"/>
      <c r="J101" s="83"/>
      <c r="K101" s="83"/>
      <c r="L101" s="83"/>
      <c r="M101" s="83"/>
      <c r="N101" s="83"/>
      <c r="O101" s="83"/>
      <c r="P101" s="83"/>
      <c r="Q101" s="83"/>
      <c r="R101" s="83"/>
      <c r="S101" s="83"/>
      <c r="U101" s="82"/>
      <c r="V101" s="95"/>
      <c r="W101" s="95"/>
    </row>
    <row r="102" spans="2:27">
      <c r="B102" s="388">
        <v>9.85</v>
      </c>
      <c r="D102" s="156">
        <f>S102</f>
        <v>8.8663376723703475</v>
      </c>
      <c r="E102" s="83"/>
      <c r="F102" s="157">
        <f>Q102</f>
        <v>28.376806783960017</v>
      </c>
      <c r="G102" s="83"/>
      <c r="H102" s="156">
        <f>O102</f>
        <v>13.010933386186988</v>
      </c>
      <c r="I102" s="83"/>
      <c r="J102" s="157">
        <f>M102</f>
        <v>29.433975324499407</v>
      </c>
      <c r="K102" s="83"/>
      <c r="L102" s="83"/>
      <c r="M102" s="157">
        <f>Rig_tip_pilastro!M10</f>
        <v>29.433975324499407</v>
      </c>
      <c r="N102" s="83"/>
      <c r="O102" s="156">
        <f>Rig_tip_pilastro!M15</f>
        <v>13.010933386186988</v>
      </c>
      <c r="P102" s="83"/>
      <c r="Q102" s="157">
        <f>Q110</f>
        <v>28.376806783960017</v>
      </c>
      <c r="R102" s="83"/>
      <c r="S102" s="156">
        <f>S110</f>
        <v>8.8663376723703475</v>
      </c>
      <c r="U102" s="82">
        <f>2*(D102+F102+H102+J102)</f>
        <v>159.37610633403352</v>
      </c>
      <c r="V102" s="95">
        <f>U102*B102</f>
        <v>1569.8546473902302</v>
      </c>
      <c r="W102" s="95">
        <f>U102*B102^2</f>
        <v>15463.068276793767</v>
      </c>
    </row>
    <row r="103" spans="2:27">
      <c r="B103" s="388"/>
      <c r="D103" s="83"/>
      <c r="E103" s="83"/>
      <c r="F103" s="83"/>
      <c r="G103" s="83"/>
      <c r="H103" s="83"/>
      <c r="I103" s="83"/>
      <c r="J103" s="83"/>
      <c r="K103" s="83"/>
      <c r="L103" s="83"/>
      <c r="M103" s="83"/>
      <c r="N103" s="83"/>
      <c r="O103" s="83"/>
      <c r="P103" s="83"/>
      <c r="Q103" s="83"/>
      <c r="R103" s="83"/>
      <c r="S103" s="83"/>
      <c r="U103" s="82"/>
      <c r="V103" s="95"/>
      <c r="W103" s="95"/>
    </row>
    <row r="104" spans="2:27">
      <c r="B104" s="388"/>
      <c r="D104" s="83"/>
      <c r="E104" s="83"/>
      <c r="F104" s="83"/>
      <c r="G104" s="83"/>
      <c r="H104" s="83"/>
      <c r="I104" s="83"/>
      <c r="J104" s="83"/>
      <c r="K104" s="83"/>
      <c r="L104" s="83"/>
      <c r="M104" s="83"/>
      <c r="N104" s="83"/>
      <c r="O104" s="83"/>
      <c r="P104" s="83"/>
      <c r="Q104" s="83"/>
      <c r="R104" s="83"/>
      <c r="S104" s="83"/>
      <c r="U104" s="82"/>
      <c r="V104" s="95"/>
      <c r="W104" s="95"/>
    </row>
    <row r="105" spans="2:27">
      <c r="B105" s="388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U105" s="82"/>
      <c r="V105" s="95"/>
      <c r="W105" s="95"/>
    </row>
    <row r="106" spans="2:27">
      <c r="B106" s="388">
        <v>6.65</v>
      </c>
      <c r="D106" s="156">
        <f>S106</f>
        <v>8.8663376723703475</v>
      </c>
      <c r="E106" s="83"/>
      <c r="F106" s="157">
        <f>Q106</f>
        <v>28.376806783960017</v>
      </c>
      <c r="G106" s="83"/>
      <c r="H106" s="156">
        <f>O106</f>
        <v>10.397099142353861</v>
      </c>
      <c r="I106" s="83"/>
      <c r="J106" s="156">
        <f>M106</f>
        <v>8.7469458670453157</v>
      </c>
      <c r="K106" s="83"/>
      <c r="L106" s="83"/>
      <c r="M106" s="156">
        <f>Rig_tip_pilastro!M20</f>
        <v>8.7469458670453157</v>
      </c>
      <c r="N106" s="83"/>
      <c r="O106" s="156">
        <f>M110</f>
        <v>10.397099142353861</v>
      </c>
      <c r="P106" s="83"/>
      <c r="Q106" s="157">
        <f>Q110</f>
        <v>28.376806783960017</v>
      </c>
      <c r="R106" s="83"/>
      <c r="S106" s="156">
        <f>S110</f>
        <v>8.8663376723703475</v>
      </c>
      <c r="U106" s="82">
        <f>2*(D106+F106+H106+J106)</f>
        <v>112.77437893145907</v>
      </c>
      <c r="V106" s="95">
        <f>U106*B106</f>
        <v>749.9496198942029</v>
      </c>
      <c r="W106" s="95">
        <f>U106*B106^2</f>
        <v>4987.1649722964494</v>
      </c>
    </row>
    <row r="107" spans="2:27">
      <c r="B107" s="388"/>
      <c r="D107" s="83"/>
      <c r="E107" s="83"/>
      <c r="F107" s="83"/>
      <c r="G107" s="83"/>
      <c r="H107" s="83"/>
      <c r="I107" s="83"/>
      <c r="J107" s="83"/>
      <c r="K107" s="83"/>
      <c r="L107" s="83"/>
      <c r="M107" s="83"/>
      <c r="N107" s="83"/>
      <c r="O107" s="83"/>
      <c r="P107" s="83"/>
      <c r="Q107" s="83"/>
      <c r="R107" s="83"/>
      <c r="S107" s="158"/>
      <c r="U107" s="82"/>
      <c r="V107" s="95"/>
      <c r="W107" s="95"/>
    </row>
    <row r="108" spans="2:27">
      <c r="B108" s="388"/>
      <c r="D108" s="83"/>
      <c r="E108" s="83"/>
      <c r="F108" s="83"/>
      <c r="G108" s="83"/>
      <c r="H108" s="83"/>
      <c r="I108" s="83"/>
      <c r="J108" s="83"/>
      <c r="K108" s="83"/>
      <c r="L108" s="83"/>
      <c r="M108" s="83"/>
      <c r="N108" s="83"/>
      <c r="O108" s="83"/>
      <c r="P108" s="83"/>
      <c r="Q108" s="83"/>
      <c r="R108" s="83"/>
      <c r="S108" s="83"/>
      <c r="U108" s="82"/>
      <c r="V108" s="95"/>
      <c r="W108" s="95"/>
    </row>
    <row r="109" spans="2:27" ht="15.75" thickBot="1">
      <c r="B109" s="388"/>
      <c r="D109" s="83"/>
      <c r="E109" s="83"/>
      <c r="F109" s="83"/>
      <c r="G109" s="83"/>
      <c r="H109" s="83"/>
      <c r="I109" s="83"/>
      <c r="J109" s="83"/>
      <c r="K109" s="83"/>
      <c r="L109" s="83"/>
      <c r="M109" s="83"/>
      <c r="N109" s="83"/>
      <c r="O109" s="83"/>
      <c r="P109" s="83"/>
      <c r="Q109" s="83"/>
      <c r="R109" s="83"/>
      <c r="S109" s="83"/>
      <c r="U109" s="82"/>
      <c r="V109" s="95"/>
      <c r="W109" s="95"/>
    </row>
    <row r="110" spans="2:27" ht="15.75" thickBot="1">
      <c r="B110" s="388">
        <v>1.65</v>
      </c>
      <c r="D110" s="156">
        <f>S110</f>
        <v>8.8663376723703475</v>
      </c>
      <c r="E110" s="83"/>
      <c r="F110" s="157">
        <f>Q110</f>
        <v>28.376806783960017</v>
      </c>
      <c r="G110" s="83"/>
      <c r="H110" s="157">
        <f>O110</f>
        <v>31.793132531486194</v>
      </c>
      <c r="I110" s="83"/>
      <c r="J110" s="156">
        <f>M110</f>
        <v>10.397099142353861</v>
      </c>
      <c r="K110" s="83"/>
      <c r="L110" s="83"/>
      <c r="M110" s="156">
        <f>Rig_tip_pilastro!M17</f>
        <v>10.397099142353861</v>
      </c>
      <c r="N110" s="83"/>
      <c r="O110" s="167">
        <f>Rig_tip_pilastro!M8</f>
        <v>31.793132531486194</v>
      </c>
      <c r="P110" s="83"/>
      <c r="Q110" s="157">
        <f>Rig_tip_pilastro!M9</f>
        <v>28.376806783960017</v>
      </c>
      <c r="R110" s="83"/>
      <c r="S110" s="156">
        <f>Rig_tip_pilastro!M18</f>
        <v>8.8663376723703475</v>
      </c>
      <c r="U110" s="82">
        <f>2*(D110+F110+H110+J110)</f>
        <v>158.86675226034086</v>
      </c>
      <c r="V110" s="95">
        <f>U110*B110</f>
        <v>262.13014122956241</v>
      </c>
      <c r="W110" s="95">
        <f>U110*B110^2</f>
        <v>432.51473302877793</v>
      </c>
    </row>
    <row r="112" spans="2:27">
      <c r="U112" s="82">
        <f>U98+U102+U106+U110</f>
        <v>525.4270996617721</v>
      </c>
      <c r="V112" s="95">
        <f>V98+V102+V106+V110</f>
        <v>4045.2872716210454</v>
      </c>
      <c r="W112" s="95">
        <f>W98+W102+W106+W110</f>
        <v>43564.717360278271</v>
      </c>
    </row>
    <row r="115" spans="1:23" ht="18.75">
      <c r="A115" s="155" t="s">
        <v>217</v>
      </c>
    </row>
    <row r="117" spans="1:23">
      <c r="C117" s="159" t="s">
        <v>200</v>
      </c>
      <c r="D117" s="388">
        <v>1.65</v>
      </c>
      <c r="E117" s="388"/>
      <c r="F117" s="388">
        <v>5.95</v>
      </c>
      <c r="G117" s="388"/>
      <c r="H117" s="388">
        <v>9.35</v>
      </c>
      <c r="I117" s="388">
        <v>10.85</v>
      </c>
      <c r="J117" s="388">
        <v>12.4</v>
      </c>
      <c r="K117" s="388"/>
      <c r="L117" s="388"/>
      <c r="M117" s="387">
        <v>16.8</v>
      </c>
      <c r="N117" s="388">
        <v>18.350000000000001</v>
      </c>
      <c r="O117" s="388">
        <v>19.850000000000001</v>
      </c>
      <c r="P117" s="388"/>
      <c r="Q117" s="398">
        <v>23.25</v>
      </c>
      <c r="R117" s="388"/>
      <c r="S117" s="388">
        <v>27.55</v>
      </c>
    </row>
    <row r="118" spans="1:23">
      <c r="B118" s="159" t="s">
        <v>201</v>
      </c>
      <c r="U118" s="83"/>
    </row>
    <row r="119" spans="1:23">
      <c r="B119" s="388">
        <v>15.5</v>
      </c>
      <c r="D119" s="156">
        <f>D131</f>
        <v>14.27821243742039</v>
      </c>
      <c r="E119" s="83"/>
      <c r="F119" s="157">
        <f>F131</f>
        <v>8.5649107914795426</v>
      </c>
      <c r="G119" s="83"/>
      <c r="H119" s="83"/>
      <c r="I119" s="157">
        <f>Rig_tip_pilastro!M76</f>
        <v>1.9493779601405787</v>
      </c>
      <c r="J119" s="83"/>
      <c r="K119" s="83"/>
      <c r="L119" s="83"/>
      <c r="M119" s="83"/>
      <c r="N119" s="157">
        <f>I119</f>
        <v>1.9493779601405787</v>
      </c>
      <c r="O119" s="83"/>
      <c r="P119" s="83"/>
      <c r="Q119" s="157">
        <f>F119</f>
        <v>8.5649107914795426</v>
      </c>
      <c r="R119" s="83"/>
      <c r="S119" s="156">
        <f>D119</f>
        <v>14.27821243742039</v>
      </c>
      <c r="U119" s="82"/>
      <c r="V119" s="95"/>
      <c r="W119" s="95"/>
    </row>
    <row r="120" spans="1:23">
      <c r="B120" s="388"/>
      <c r="D120" s="83"/>
      <c r="E120" s="83"/>
      <c r="F120" s="83"/>
      <c r="G120" s="83"/>
      <c r="H120" s="83"/>
      <c r="I120" s="83"/>
      <c r="J120" s="83"/>
      <c r="K120" s="83"/>
      <c r="L120" s="83"/>
      <c r="M120" s="83"/>
      <c r="N120" s="83"/>
      <c r="O120" s="83"/>
      <c r="P120" s="83"/>
      <c r="Q120" s="83"/>
      <c r="R120" s="83"/>
      <c r="S120" s="83"/>
      <c r="U120" s="82"/>
      <c r="V120" s="95"/>
      <c r="W120" s="95"/>
    </row>
    <row r="121" spans="1:23">
      <c r="B121" s="388"/>
      <c r="D121" s="83"/>
      <c r="E121" s="83"/>
      <c r="F121" s="83"/>
      <c r="G121" s="83"/>
      <c r="H121" s="83"/>
      <c r="I121" s="83"/>
      <c r="J121" s="83"/>
      <c r="K121" s="83"/>
      <c r="L121" s="83"/>
      <c r="M121" s="83"/>
      <c r="N121" s="83"/>
      <c r="O121" s="83"/>
      <c r="P121" s="83"/>
      <c r="Q121" s="83"/>
      <c r="R121" s="83"/>
      <c r="S121" s="83"/>
      <c r="U121" s="82"/>
      <c r="V121" s="95"/>
      <c r="W121" s="95"/>
    </row>
    <row r="122" spans="1:23">
      <c r="B122" s="388"/>
      <c r="D122" s="83"/>
      <c r="E122" s="83"/>
      <c r="F122" s="83"/>
      <c r="G122" s="83"/>
      <c r="H122" s="83"/>
      <c r="I122" s="83"/>
      <c r="J122" s="83"/>
      <c r="K122" s="83"/>
      <c r="L122" s="83"/>
      <c r="M122" s="83"/>
      <c r="N122" s="83"/>
      <c r="O122" s="83"/>
      <c r="P122" s="83"/>
      <c r="Q122" s="83"/>
      <c r="R122" s="83"/>
      <c r="S122" s="83"/>
      <c r="U122" s="82"/>
      <c r="V122" s="95"/>
      <c r="W122" s="95"/>
    </row>
    <row r="123" spans="1:23">
      <c r="B123" s="388">
        <v>9.85</v>
      </c>
      <c r="D123" s="156">
        <f>D131</f>
        <v>14.27821243742039</v>
      </c>
      <c r="E123" s="83"/>
      <c r="F123" s="157">
        <f>F131</f>
        <v>8.5649107914795426</v>
      </c>
      <c r="G123" s="83"/>
      <c r="H123" s="156">
        <f>H127</f>
        <v>17.480923458767474</v>
      </c>
      <c r="I123" s="83"/>
      <c r="J123" s="157">
        <f>Rig_tip_pilastro!M73</f>
        <v>9.6617261026544288</v>
      </c>
      <c r="K123" s="83"/>
      <c r="L123" s="83"/>
      <c r="M123" s="157">
        <f>J123</f>
        <v>9.6617261026544288</v>
      </c>
      <c r="N123" s="83"/>
      <c r="O123" s="156">
        <f>H123</f>
        <v>17.480923458767474</v>
      </c>
      <c r="P123" s="83"/>
      <c r="Q123" s="157">
        <f>F123</f>
        <v>8.5649107914795426</v>
      </c>
      <c r="R123" s="83"/>
      <c r="S123" s="156">
        <f>D123</f>
        <v>14.27821243742039</v>
      </c>
      <c r="U123" s="82"/>
      <c r="V123" s="95"/>
      <c r="W123" s="95"/>
    </row>
    <row r="124" spans="1:23">
      <c r="B124" s="388"/>
      <c r="D124" s="83"/>
      <c r="E124" s="83"/>
      <c r="F124" s="83"/>
      <c r="G124" s="83"/>
      <c r="H124" s="83"/>
      <c r="I124" s="83"/>
      <c r="J124" s="83"/>
      <c r="K124" s="83"/>
      <c r="L124" s="83"/>
      <c r="M124" s="83"/>
      <c r="N124" s="83"/>
      <c r="O124" s="83"/>
      <c r="P124" s="83"/>
      <c r="Q124" s="83"/>
      <c r="R124" s="83"/>
      <c r="S124" s="83"/>
      <c r="U124" s="82"/>
      <c r="V124" s="95"/>
      <c r="W124" s="95"/>
    </row>
    <row r="125" spans="1:23">
      <c r="B125" s="388"/>
      <c r="D125" s="83"/>
      <c r="E125" s="83"/>
      <c r="F125" s="83"/>
      <c r="G125" s="83"/>
      <c r="H125" s="83"/>
      <c r="I125" s="83"/>
      <c r="J125" s="83"/>
      <c r="K125" s="83"/>
      <c r="L125" s="83"/>
      <c r="M125" s="83"/>
      <c r="N125" s="83"/>
      <c r="O125" s="83"/>
      <c r="P125" s="83"/>
      <c r="Q125" s="83"/>
      <c r="R125" s="83"/>
      <c r="S125" s="83"/>
      <c r="U125" s="82"/>
      <c r="V125" s="95"/>
      <c r="W125" s="95"/>
    </row>
    <row r="126" spans="1:23" ht="15.75" thickBot="1">
      <c r="B126" s="388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  <c r="R126" s="83"/>
      <c r="S126" s="83"/>
      <c r="U126" s="82"/>
      <c r="V126" s="95"/>
      <c r="W126" s="95"/>
    </row>
    <row r="127" spans="1:23" ht="15.75" thickBot="1">
      <c r="B127" s="388">
        <v>6.65</v>
      </c>
      <c r="D127" s="156">
        <f>D131</f>
        <v>14.27821243742039</v>
      </c>
      <c r="E127" s="83"/>
      <c r="F127" s="157">
        <f>F131</f>
        <v>8.5649107914795426</v>
      </c>
      <c r="G127" s="83"/>
      <c r="H127" s="156">
        <f>Rig_tip_pilastro!M70</f>
        <v>17.480923458767474</v>
      </c>
      <c r="I127" s="83"/>
      <c r="J127" s="168">
        <f>Rig_tip_pilastro!M67</f>
        <v>27.167393575775225</v>
      </c>
      <c r="K127" s="83"/>
      <c r="L127" s="83"/>
      <c r="M127" s="156">
        <f>J127</f>
        <v>27.167393575775225</v>
      </c>
      <c r="N127" s="83"/>
      <c r="O127" s="156">
        <f>H127</f>
        <v>17.480923458767474</v>
      </c>
      <c r="P127" s="83"/>
      <c r="Q127" s="157">
        <f>F127</f>
        <v>8.5649107914795426</v>
      </c>
      <c r="R127" s="83"/>
      <c r="S127" s="156">
        <f>D127</f>
        <v>14.27821243742039</v>
      </c>
      <c r="U127" s="82"/>
      <c r="V127" s="95"/>
      <c r="W127" s="95"/>
    </row>
    <row r="128" spans="1:23">
      <c r="B128" s="388"/>
      <c r="D128" s="83"/>
      <c r="E128" s="83"/>
      <c r="F128" s="83"/>
      <c r="G128" s="83"/>
      <c r="H128" s="83"/>
      <c r="I128" s="83"/>
      <c r="J128" s="83"/>
      <c r="K128" s="83"/>
      <c r="L128" s="83"/>
      <c r="M128" s="83"/>
      <c r="N128" s="83"/>
      <c r="O128" s="83"/>
      <c r="P128" s="83"/>
      <c r="Q128" s="83"/>
      <c r="R128" s="83"/>
      <c r="S128" s="158"/>
      <c r="U128" s="82"/>
      <c r="V128" s="95"/>
      <c r="W128" s="95"/>
    </row>
    <row r="129" spans="1:27">
      <c r="B129" s="388"/>
      <c r="D129" s="83"/>
      <c r="E129" s="83"/>
      <c r="F129" s="83"/>
      <c r="G129" s="83"/>
      <c r="H129" s="83"/>
      <c r="I129" s="83"/>
      <c r="J129" s="83"/>
      <c r="K129" s="83"/>
      <c r="L129" s="83"/>
      <c r="M129" s="83"/>
      <c r="N129" s="83"/>
      <c r="O129" s="83"/>
      <c r="P129" s="83"/>
      <c r="Q129" s="83"/>
      <c r="R129" s="83"/>
      <c r="S129" s="83"/>
      <c r="U129" s="82"/>
      <c r="V129" s="95"/>
      <c r="W129" s="95"/>
    </row>
    <row r="130" spans="1:27">
      <c r="B130" s="388"/>
      <c r="D130" s="83"/>
      <c r="E130" s="83"/>
      <c r="F130" s="83"/>
      <c r="G130" s="83"/>
      <c r="H130" s="83"/>
      <c r="I130" s="83"/>
      <c r="J130" s="83"/>
      <c r="K130" s="83"/>
      <c r="L130" s="83"/>
      <c r="M130" s="83"/>
      <c r="N130" s="83"/>
      <c r="O130" s="83"/>
      <c r="P130" s="83"/>
      <c r="Q130" s="83"/>
      <c r="R130" s="83"/>
      <c r="S130" s="83"/>
      <c r="U130" s="82"/>
      <c r="V130" s="95"/>
      <c r="W130" s="95"/>
    </row>
    <row r="131" spans="1:27">
      <c r="B131" s="388">
        <v>1.65</v>
      </c>
      <c r="D131" s="156">
        <f>Rig_tip_pilastro!M69</f>
        <v>14.27821243742039</v>
      </c>
      <c r="E131" s="83"/>
      <c r="F131" s="157">
        <f>Rig_tip_pilastro!M72</f>
        <v>8.5649107914795426</v>
      </c>
      <c r="G131" s="83"/>
      <c r="H131" s="157">
        <f>Rig_tip_pilastro!M75</f>
        <v>2.1916064954831178</v>
      </c>
      <c r="I131" s="83"/>
      <c r="J131" s="156">
        <f>D131</f>
        <v>14.27821243742039</v>
      </c>
      <c r="K131" s="83"/>
      <c r="L131" s="83"/>
      <c r="M131" s="156">
        <f>J131</f>
        <v>14.27821243742039</v>
      </c>
      <c r="N131" s="83"/>
      <c r="O131" s="157">
        <f>H131</f>
        <v>2.1916064954831178</v>
      </c>
      <c r="P131" s="83"/>
      <c r="Q131" s="157">
        <f>F131</f>
        <v>8.5649107914795426</v>
      </c>
      <c r="R131" s="83"/>
      <c r="S131" s="156">
        <f>D131</f>
        <v>14.27821243742039</v>
      </c>
      <c r="U131" s="82"/>
      <c r="V131" s="95"/>
      <c r="W131" s="95"/>
    </row>
    <row r="133" spans="1:27">
      <c r="U133" s="82"/>
      <c r="V133" s="95"/>
      <c r="W133" s="95"/>
    </row>
    <row r="134" spans="1:27">
      <c r="B134" s="83" t="s">
        <v>202</v>
      </c>
      <c r="D134" s="82">
        <f>D119+D123+D127+D131</f>
        <v>57.112849749681558</v>
      </c>
      <c r="E134" s="83"/>
      <c r="F134" s="82">
        <f>F119+F123+F127+F131</f>
        <v>34.25964316591817</v>
      </c>
      <c r="G134" s="83"/>
      <c r="H134" s="82">
        <f>H123+H127+H131</f>
        <v>37.15345341301807</v>
      </c>
      <c r="I134" s="82">
        <f>I119</f>
        <v>1.9493779601405787</v>
      </c>
      <c r="J134" s="82">
        <f>J123+J127+J131</f>
        <v>51.107332115850042</v>
      </c>
      <c r="K134" s="83"/>
      <c r="L134" s="83"/>
      <c r="M134" s="82">
        <f>J134</f>
        <v>51.107332115850042</v>
      </c>
      <c r="N134" s="82">
        <f>I134</f>
        <v>1.9493779601405787</v>
      </c>
      <c r="O134" s="82">
        <f>H134</f>
        <v>37.15345341301807</v>
      </c>
      <c r="P134" s="83"/>
      <c r="Q134" s="82">
        <f>F134</f>
        <v>34.25964316591817</v>
      </c>
      <c r="R134" s="83"/>
      <c r="S134" s="82">
        <f>D134</f>
        <v>57.112849749681558</v>
      </c>
      <c r="U134" s="82">
        <f>D134+F134+H134+I134+J134+M134+N134+O134+Q134+S134</f>
        <v>363.16531280921686</v>
      </c>
      <c r="W134" s="95" t="s">
        <v>214</v>
      </c>
      <c r="X134" s="369" t="s">
        <v>390</v>
      </c>
      <c r="Y134" s="95" t="s">
        <v>391</v>
      </c>
    </row>
    <row r="135" spans="1:27">
      <c r="U135" s="83"/>
      <c r="W135" s="368"/>
      <c r="X135" s="368"/>
      <c r="Y135" s="368"/>
    </row>
    <row r="136" spans="1:27">
      <c r="B136" s="83" t="s">
        <v>206</v>
      </c>
      <c r="D136" s="95">
        <f>D134*D117</f>
        <v>94.236202086974572</v>
      </c>
      <c r="E136" s="95"/>
      <c r="F136" s="95">
        <f>F134*F117</f>
        <v>203.84487683721312</v>
      </c>
      <c r="G136" s="95"/>
      <c r="H136" s="95">
        <f>H134*H117</f>
        <v>347.38478941171894</v>
      </c>
      <c r="I136" s="95">
        <f>I134*I117</f>
        <v>21.150750867525279</v>
      </c>
      <c r="J136" s="95">
        <f>J134*J117</f>
        <v>633.73091823654056</v>
      </c>
      <c r="K136" s="95"/>
      <c r="L136" s="95"/>
      <c r="M136" s="95">
        <f>M134*M117</f>
        <v>858.60317954628078</v>
      </c>
      <c r="N136" s="95">
        <f>N134*N117</f>
        <v>35.771085568579622</v>
      </c>
      <c r="O136" s="95">
        <f>O134*O117</f>
        <v>737.49605024840878</v>
      </c>
      <c r="P136" s="95"/>
      <c r="Q136" s="95">
        <f>Q134*Q117</f>
        <v>796.53670360759747</v>
      </c>
      <c r="R136" s="95"/>
      <c r="S136" s="95">
        <f>S134*S117</f>
        <v>1573.4590106037269</v>
      </c>
      <c r="U136" s="95">
        <f>D136+F136+H136+I136+J136+M136+N136+O136+Q136+S136</f>
        <v>5302.2135670145653</v>
      </c>
      <c r="W136" s="367">
        <f>U136/U134</f>
        <v>14.599999999999998</v>
      </c>
      <c r="X136" s="95">
        <f>U138-U134*W136^2</f>
        <v>26880.349021258793</v>
      </c>
      <c r="Y136" s="367">
        <f>SQRT(Y139/U134)</f>
        <v>10.402680996589337</v>
      </c>
    </row>
    <row r="137" spans="1:27">
      <c r="U137" s="83"/>
      <c r="W137" s="368"/>
      <c r="X137" s="368"/>
      <c r="Y137" s="368"/>
    </row>
    <row r="138" spans="1:27" ht="17.25">
      <c r="B138" s="83" t="s">
        <v>207</v>
      </c>
      <c r="D138" s="95">
        <f>D134*D117^2</f>
        <v>155.48973344350802</v>
      </c>
      <c r="E138" s="95"/>
      <c r="F138" s="95">
        <f>F134*F117^2</f>
        <v>1212.8770171814181</v>
      </c>
      <c r="G138" s="95"/>
      <c r="H138" s="95">
        <f>H134*H117^2</f>
        <v>3248.0477809995723</v>
      </c>
      <c r="I138" s="95">
        <f>I134*I117^2</f>
        <v>229.48564691264929</v>
      </c>
      <c r="J138" s="95">
        <f>J134*J117^2</f>
        <v>7858.2633861331033</v>
      </c>
      <c r="M138" s="95">
        <f>M134*M117^2</f>
        <v>14424.533416377517</v>
      </c>
      <c r="N138" s="95">
        <f>N134*N117^2</f>
        <v>656.39942018343606</v>
      </c>
      <c r="O138" s="95">
        <f>O134*O117^2</f>
        <v>14639.296597430914</v>
      </c>
      <c r="P138" s="95"/>
      <c r="Q138" s="95">
        <f>Q134*Q117^2</f>
        <v>18519.47835887664</v>
      </c>
      <c r="R138" s="95"/>
      <c r="S138" s="95">
        <f>S134*S117^2</f>
        <v>43348.795742132679</v>
      </c>
      <c r="T138" s="95"/>
      <c r="U138" s="95">
        <f>D138+F138+H138+I138+J138+M138+N138+O138+Q138+S138</f>
        <v>104292.66709967144</v>
      </c>
      <c r="W138" s="368"/>
      <c r="X138" s="368"/>
      <c r="Y138" s="368"/>
    </row>
    <row r="139" spans="1:27">
      <c r="W139" s="368"/>
      <c r="X139" s="94" t="s">
        <v>388</v>
      </c>
      <c r="Y139" s="363">
        <f>Z98+X136</f>
        <v>39300.21465905587</v>
      </c>
    </row>
    <row r="140" spans="1:27">
      <c r="W140" s="368"/>
    </row>
    <row r="141" spans="1:27" ht="18.75">
      <c r="A141" s="155" t="s">
        <v>223</v>
      </c>
    </row>
    <row r="143" spans="1:27" ht="17.25">
      <c r="C143" s="161" t="s">
        <v>200</v>
      </c>
      <c r="D143" s="388">
        <v>1.65</v>
      </c>
      <c r="E143" s="388"/>
      <c r="F143" s="388">
        <v>5.95</v>
      </c>
      <c r="G143" s="388"/>
      <c r="H143" s="388">
        <v>9.35</v>
      </c>
      <c r="I143" s="388">
        <v>10.85</v>
      </c>
      <c r="J143" s="388">
        <v>12.4</v>
      </c>
      <c r="K143" s="388"/>
      <c r="L143" s="388"/>
      <c r="M143" s="387">
        <v>16.8</v>
      </c>
      <c r="N143" s="388">
        <v>18.350000000000001</v>
      </c>
      <c r="O143" s="388">
        <v>19.850000000000001</v>
      </c>
      <c r="P143" s="388"/>
      <c r="Q143" s="398">
        <v>23.25</v>
      </c>
      <c r="R143" s="388"/>
      <c r="S143" s="388">
        <v>27.55</v>
      </c>
      <c r="U143" s="83" t="s">
        <v>202</v>
      </c>
      <c r="V143" s="83" t="s">
        <v>203</v>
      </c>
      <c r="W143" s="83" t="s">
        <v>204</v>
      </c>
      <c r="Y143" s="369" t="s">
        <v>213</v>
      </c>
      <c r="Z143" s="369" t="s">
        <v>390</v>
      </c>
      <c r="AA143" s="369" t="s">
        <v>392</v>
      </c>
    </row>
    <row r="144" spans="1:27">
      <c r="B144" s="161" t="s">
        <v>201</v>
      </c>
      <c r="U144" s="83"/>
      <c r="Y144" s="368"/>
      <c r="Z144" s="368"/>
      <c r="AA144" s="368"/>
    </row>
    <row r="145" spans="2:27">
      <c r="B145" s="388">
        <v>15.5</v>
      </c>
      <c r="D145" s="156">
        <f>S145</f>
        <v>7.716559837213314</v>
      </c>
      <c r="E145" s="83"/>
      <c r="F145" s="157">
        <f>Q145</f>
        <v>20.073805964045754</v>
      </c>
      <c r="G145" s="83"/>
      <c r="H145" s="83"/>
      <c r="I145" s="157">
        <f>N145</f>
        <v>10.519290886953659</v>
      </c>
      <c r="J145" s="83"/>
      <c r="K145" s="83"/>
      <c r="L145" s="83"/>
      <c r="M145" s="83"/>
      <c r="N145" s="157">
        <f>Rig_tip_pilastro!E13</f>
        <v>10.519290886953659</v>
      </c>
      <c r="O145" s="83"/>
      <c r="P145" s="83"/>
      <c r="Q145" s="157">
        <f>Rig_tip_pilastro!E11</f>
        <v>20.073805964045754</v>
      </c>
      <c r="R145" s="83"/>
      <c r="S145" s="156">
        <f>S157</f>
        <v>7.716559837213314</v>
      </c>
      <c r="U145" s="82">
        <f>2*(D145+F145+I145)</f>
        <v>76.619313376425453</v>
      </c>
      <c r="V145" s="95">
        <f>U145*B145</f>
        <v>1187.5993573345945</v>
      </c>
      <c r="W145" s="95">
        <f>U145*B145^2</f>
        <v>18407.790038686217</v>
      </c>
      <c r="Y145" s="367">
        <f>V159/U159</f>
        <v>7.651425193038321</v>
      </c>
      <c r="Z145" s="363">
        <f>W159-U159*Y145^2</f>
        <v>10261.597204201989</v>
      </c>
      <c r="AA145" s="367">
        <f>SQRT(Y186/U159)</f>
        <v>8.6931843377288747</v>
      </c>
    </row>
    <row r="146" spans="2:27">
      <c r="B146" s="388"/>
      <c r="D146" s="83"/>
      <c r="E146" s="83"/>
      <c r="F146" s="83"/>
      <c r="G146" s="83"/>
      <c r="H146" s="83"/>
      <c r="I146" s="83"/>
      <c r="J146" s="83"/>
      <c r="K146" s="83"/>
      <c r="L146" s="83"/>
      <c r="M146" s="83"/>
      <c r="N146" s="83"/>
      <c r="O146" s="83"/>
      <c r="P146" s="83"/>
      <c r="Q146" s="83"/>
      <c r="R146" s="83"/>
      <c r="S146" s="83"/>
      <c r="U146" s="82"/>
      <c r="V146" s="95"/>
      <c r="W146" s="95"/>
    </row>
    <row r="147" spans="2:27">
      <c r="B147" s="388"/>
      <c r="D147" s="83"/>
      <c r="E147" s="83"/>
      <c r="F147" s="83"/>
      <c r="G147" s="83"/>
      <c r="H147" s="83"/>
      <c r="I147" s="83"/>
      <c r="J147" s="83"/>
      <c r="K147" s="83"/>
      <c r="L147" s="83"/>
      <c r="M147" s="83"/>
      <c r="N147" s="83"/>
      <c r="O147" s="83"/>
      <c r="P147" s="83"/>
      <c r="Q147" s="83"/>
      <c r="R147" s="83"/>
      <c r="S147" s="83"/>
      <c r="U147" s="82"/>
      <c r="V147" s="95"/>
      <c r="W147" s="95"/>
    </row>
    <row r="148" spans="2:27">
      <c r="B148" s="388"/>
      <c r="D148" s="83"/>
      <c r="E148" s="83"/>
      <c r="F148" s="83"/>
      <c r="G148" s="83"/>
      <c r="H148" s="83"/>
      <c r="I148" s="83"/>
      <c r="J148" s="83"/>
      <c r="K148" s="83"/>
      <c r="L148" s="83"/>
      <c r="M148" s="83"/>
      <c r="N148" s="83"/>
      <c r="O148" s="83"/>
      <c r="P148" s="83"/>
      <c r="Q148" s="83"/>
      <c r="R148" s="83"/>
      <c r="S148" s="83"/>
      <c r="U148" s="82"/>
      <c r="V148" s="95"/>
      <c r="W148" s="95"/>
    </row>
    <row r="149" spans="2:27">
      <c r="B149" s="388">
        <v>9.85</v>
      </c>
      <c r="D149" s="156">
        <f>D145</f>
        <v>7.716559837213314</v>
      </c>
      <c r="E149" s="83"/>
      <c r="F149" s="157">
        <f>Q149</f>
        <v>23.240557688334988</v>
      </c>
      <c r="G149" s="83"/>
      <c r="H149" s="156">
        <f>O149</f>
        <v>12.060631487702521</v>
      </c>
      <c r="I149" s="83"/>
      <c r="J149" s="157">
        <f>M149</f>
        <v>24.189495305256873</v>
      </c>
      <c r="K149" s="83"/>
      <c r="L149" s="83"/>
      <c r="M149" s="157">
        <f>Rig_tip_pilastro!E10</f>
        <v>24.189495305256873</v>
      </c>
      <c r="N149" s="83"/>
      <c r="O149" s="156">
        <f>Rig_tip_pilastro!E15</f>
        <v>12.060631487702521</v>
      </c>
      <c r="P149" s="83"/>
      <c r="Q149" s="157">
        <f>Q157</f>
        <v>23.240557688334988</v>
      </c>
      <c r="R149" s="83"/>
      <c r="S149" s="156">
        <f>S157</f>
        <v>7.716559837213314</v>
      </c>
      <c r="U149" s="82">
        <f>2*(D149+F149+H149+J149)</f>
        <v>134.41448863701538</v>
      </c>
      <c r="V149" s="95">
        <f>U149*B149</f>
        <v>1323.9827130746014</v>
      </c>
      <c r="W149" s="95">
        <f>U149*B149^2</f>
        <v>13041.229723784823</v>
      </c>
    </row>
    <row r="150" spans="2:27">
      <c r="B150" s="388"/>
      <c r="D150" s="83"/>
      <c r="E150" s="83"/>
      <c r="F150" s="83"/>
      <c r="G150" s="83"/>
      <c r="H150" s="83"/>
      <c r="I150" s="83"/>
      <c r="J150" s="83"/>
      <c r="K150" s="83"/>
      <c r="L150" s="83"/>
      <c r="M150" s="83"/>
      <c r="N150" s="83"/>
      <c r="O150" s="83"/>
      <c r="P150" s="83"/>
      <c r="Q150" s="83"/>
      <c r="R150" s="83"/>
      <c r="S150" s="83"/>
      <c r="U150" s="82"/>
      <c r="V150" s="95"/>
      <c r="W150" s="95"/>
    </row>
    <row r="151" spans="2:27">
      <c r="B151" s="388"/>
      <c r="D151" s="83"/>
      <c r="E151" s="83"/>
      <c r="F151" s="83"/>
      <c r="G151" s="83"/>
      <c r="H151" s="83"/>
      <c r="I151" s="83"/>
      <c r="J151" s="83"/>
      <c r="K151" s="83"/>
      <c r="L151" s="83"/>
      <c r="M151" s="83"/>
      <c r="N151" s="83"/>
      <c r="O151" s="83"/>
      <c r="P151" s="83"/>
      <c r="Q151" s="83"/>
      <c r="R151" s="83"/>
      <c r="S151" s="83"/>
      <c r="U151" s="82"/>
      <c r="V151" s="95"/>
      <c r="W151" s="95"/>
    </row>
    <row r="152" spans="2:27">
      <c r="B152" s="388"/>
      <c r="D152" s="83"/>
      <c r="E152" s="83"/>
      <c r="F152" s="83"/>
      <c r="G152" s="83"/>
      <c r="H152" s="83"/>
      <c r="I152" s="83"/>
      <c r="J152" s="83"/>
      <c r="K152" s="83"/>
      <c r="L152" s="83"/>
      <c r="M152" s="83"/>
      <c r="N152" s="83"/>
      <c r="O152" s="83"/>
      <c r="P152" s="83"/>
      <c r="Q152" s="83"/>
      <c r="R152" s="83"/>
      <c r="S152" s="83"/>
      <c r="U152" s="82"/>
      <c r="V152" s="95"/>
      <c r="W152" s="95"/>
    </row>
    <row r="153" spans="2:27">
      <c r="B153" s="388">
        <v>6.65</v>
      </c>
      <c r="D153" s="156">
        <f>D145</f>
        <v>7.716559837213314</v>
      </c>
      <c r="E153" s="83"/>
      <c r="F153" s="157">
        <f>Q153</f>
        <v>23.240557688334988</v>
      </c>
      <c r="G153" s="83"/>
      <c r="H153" s="156">
        <f>O153</f>
        <v>9.2661686276775441</v>
      </c>
      <c r="I153" s="83"/>
      <c r="J153" s="156">
        <f>M153</f>
        <v>8.7469458670453157</v>
      </c>
      <c r="K153" s="83"/>
      <c r="L153" s="83"/>
      <c r="M153" s="156">
        <f>Rig_tip_pilastro!E20</f>
        <v>8.7469458670453157</v>
      </c>
      <c r="N153" s="83"/>
      <c r="O153" s="156">
        <f>M157</f>
        <v>9.2661686276775441</v>
      </c>
      <c r="P153" s="83"/>
      <c r="Q153" s="157">
        <f>Q157</f>
        <v>23.240557688334988</v>
      </c>
      <c r="R153" s="83"/>
      <c r="S153" s="156">
        <f>S157</f>
        <v>7.716559837213314</v>
      </c>
      <c r="U153" s="82">
        <f>2*(D153+F153+H153+J153)</f>
        <v>97.940464040542309</v>
      </c>
      <c r="V153" s="95">
        <f>U153*B153</f>
        <v>651.30408586960641</v>
      </c>
      <c r="W153" s="95">
        <f>U153*B153^2</f>
        <v>4331.1721710328829</v>
      </c>
    </row>
    <row r="154" spans="2:27">
      <c r="B154" s="388"/>
      <c r="D154" s="83"/>
      <c r="E154" s="83"/>
      <c r="F154" s="83"/>
      <c r="G154" s="83"/>
      <c r="H154" s="83"/>
      <c r="I154" s="83"/>
      <c r="J154" s="83"/>
      <c r="K154" s="83"/>
      <c r="L154" s="83"/>
      <c r="M154" s="83"/>
      <c r="N154" s="83"/>
      <c r="O154" s="83"/>
      <c r="P154" s="83"/>
      <c r="Q154" s="83"/>
      <c r="R154" s="83"/>
      <c r="S154" s="160"/>
      <c r="U154" s="82"/>
      <c r="V154" s="95"/>
      <c r="W154" s="95"/>
    </row>
    <row r="155" spans="2:27">
      <c r="B155" s="388"/>
      <c r="D155" s="83"/>
      <c r="E155" s="83"/>
      <c r="F155" s="83"/>
      <c r="G155" s="83"/>
      <c r="H155" s="83"/>
      <c r="I155" s="83"/>
      <c r="J155" s="83"/>
      <c r="K155" s="83"/>
      <c r="L155" s="83"/>
      <c r="M155" s="83"/>
      <c r="N155" s="83"/>
      <c r="O155" s="83"/>
      <c r="P155" s="83"/>
      <c r="Q155" s="83"/>
      <c r="R155" s="83"/>
      <c r="S155" s="83"/>
      <c r="U155" s="82"/>
      <c r="V155" s="95"/>
      <c r="W155" s="95"/>
    </row>
    <row r="156" spans="2:27" ht="15.75" thickBot="1">
      <c r="B156" s="388"/>
      <c r="D156" s="83"/>
      <c r="E156" s="83"/>
      <c r="F156" s="83"/>
      <c r="G156" s="83"/>
      <c r="H156" s="83"/>
      <c r="I156" s="83"/>
      <c r="J156" s="83"/>
      <c r="K156" s="83"/>
      <c r="L156" s="83"/>
      <c r="M156" s="83"/>
      <c r="N156" s="83"/>
      <c r="O156" s="83"/>
      <c r="P156" s="83"/>
      <c r="Q156" s="83"/>
      <c r="R156" s="83"/>
      <c r="S156" s="83"/>
      <c r="U156" s="82"/>
      <c r="V156" s="95"/>
      <c r="W156" s="95"/>
    </row>
    <row r="157" spans="2:27" ht="15.75" thickBot="1">
      <c r="B157" s="388">
        <v>1.65</v>
      </c>
      <c r="D157" s="156">
        <f>D145</f>
        <v>7.716559837213314</v>
      </c>
      <c r="E157" s="83"/>
      <c r="F157" s="157">
        <f>Q157</f>
        <v>23.240557688334988</v>
      </c>
      <c r="G157" s="83"/>
      <c r="H157" s="157">
        <f>O157</f>
        <v>26.326962104424197</v>
      </c>
      <c r="I157" s="83"/>
      <c r="J157" s="156">
        <f>M157</f>
        <v>9.2661686276775441</v>
      </c>
      <c r="K157" s="83"/>
      <c r="L157" s="83"/>
      <c r="M157" s="156">
        <f>Rig_tip_pilastro!E17</f>
        <v>9.2661686276775441</v>
      </c>
      <c r="N157" s="83"/>
      <c r="O157" s="167">
        <f>Rig_tip_pilastro!E8</f>
        <v>26.326962104424197</v>
      </c>
      <c r="P157" s="83"/>
      <c r="Q157" s="157">
        <f>Rig_tip_pilastro!E9</f>
        <v>23.240557688334988</v>
      </c>
      <c r="R157" s="83"/>
      <c r="S157" s="156">
        <f>Rig_tip_pilastro!E18</f>
        <v>7.716559837213314</v>
      </c>
      <c r="U157" s="82">
        <f>2*(D157+F157+H157+J157)</f>
        <v>133.10049651530008</v>
      </c>
      <c r="V157" s="95">
        <f>U157*B157</f>
        <v>219.61581925024512</v>
      </c>
      <c r="W157" s="95">
        <f>U157*B157^2</f>
        <v>362.36610176290441</v>
      </c>
    </row>
    <row r="159" spans="2:27">
      <c r="U159" s="82">
        <f>U145+U149+U153+U157</f>
        <v>442.07476256928317</v>
      </c>
      <c r="V159" s="95">
        <f>V145+V149+V153+V157</f>
        <v>3382.5019755290473</v>
      </c>
      <c r="W159" s="95">
        <f>W145+W149+W153+W157</f>
        <v>36142.558035266833</v>
      </c>
    </row>
    <row r="162" spans="1:23" ht="18.75">
      <c r="A162" s="155" t="s">
        <v>224</v>
      </c>
    </row>
    <row r="164" spans="1:23">
      <c r="C164" s="161" t="s">
        <v>200</v>
      </c>
      <c r="D164" s="388">
        <v>1.65</v>
      </c>
      <c r="E164" s="388"/>
      <c r="F164" s="388">
        <v>5.95</v>
      </c>
      <c r="G164" s="388"/>
      <c r="H164" s="388">
        <v>9.35</v>
      </c>
      <c r="I164" s="388">
        <v>10.85</v>
      </c>
      <c r="J164" s="388">
        <v>12.4</v>
      </c>
      <c r="K164" s="388"/>
      <c r="L164" s="388"/>
      <c r="M164" s="387">
        <v>16.8</v>
      </c>
      <c r="N164" s="388">
        <v>18.350000000000001</v>
      </c>
      <c r="O164" s="388">
        <v>19.850000000000001</v>
      </c>
      <c r="P164" s="388"/>
      <c r="Q164" s="398">
        <v>23.25</v>
      </c>
      <c r="R164" s="388"/>
      <c r="S164" s="388">
        <v>27.55</v>
      </c>
    </row>
    <row r="165" spans="1:23">
      <c r="B165" s="161" t="s">
        <v>201</v>
      </c>
      <c r="U165" s="83"/>
    </row>
    <row r="166" spans="1:23">
      <c r="B166" s="388">
        <v>15.5</v>
      </c>
      <c r="D166" s="156">
        <f>D178</f>
        <v>12.058777502800043</v>
      </c>
      <c r="E166" s="83"/>
      <c r="F166" s="157">
        <f>F178</f>
        <v>7.8211967872228785</v>
      </c>
      <c r="G166" s="83"/>
      <c r="H166" s="83"/>
      <c r="I166" s="157">
        <f>Rig_tip_pilastro!E76</f>
        <v>2.0916425538037853</v>
      </c>
      <c r="J166" s="83"/>
      <c r="K166" s="83"/>
      <c r="L166" s="83"/>
      <c r="M166" s="83"/>
      <c r="N166" s="157">
        <f>I166</f>
        <v>2.0916425538037853</v>
      </c>
      <c r="O166" s="83"/>
      <c r="P166" s="83"/>
      <c r="Q166" s="157">
        <f>F166</f>
        <v>7.8211967872228785</v>
      </c>
      <c r="R166" s="83"/>
      <c r="S166" s="156">
        <f>D166</f>
        <v>12.058777502800043</v>
      </c>
      <c r="U166" s="82"/>
      <c r="V166" s="95"/>
      <c r="W166" s="95"/>
    </row>
    <row r="167" spans="1:23">
      <c r="B167" s="388"/>
      <c r="D167" s="83"/>
      <c r="E167" s="83"/>
      <c r="F167" s="83"/>
      <c r="G167" s="83"/>
      <c r="H167" s="83"/>
      <c r="I167" s="83"/>
      <c r="J167" s="83"/>
      <c r="K167" s="83"/>
      <c r="L167" s="83"/>
      <c r="M167" s="83"/>
      <c r="N167" s="83"/>
      <c r="O167" s="83"/>
      <c r="P167" s="83"/>
      <c r="Q167" s="83"/>
      <c r="R167" s="83"/>
      <c r="S167" s="83"/>
      <c r="U167" s="82"/>
      <c r="V167" s="95"/>
      <c r="W167" s="95"/>
    </row>
    <row r="168" spans="1:23">
      <c r="B168" s="388"/>
      <c r="D168" s="83"/>
      <c r="E168" s="83"/>
      <c r="F168" s="83"/>
      <c r="G168" s="83"/>
      <c r="H168" s="83"/>
      <c r="I168" s="83"/>
      <c r="J168" s="83"/>
      <c r="K168" s="83"/>
      <c r="L168" s="83"/>
      <c r="M168" s="83"/>
      <c r="N168" s="83"/>
      <c r="O168" s="83"/>
      <c r="P168" s="83"/>
      <c r="Q168" s="83"/>
      <c r="R168" s="83"/>
      <c r="S168" s="83"/>
      <c r="U168" s="82"/>
      <c r="V168" s="95"/>
      <c r="W168" s="95"/>
    </row>
    <row r="169" spans="1:23">
      <c r="B169" s="388"/>
      <c r="D169" s="83"/>
      <c r="E169" s="83"/>
      <c r="F169" s="83"/>
      <c r="G169" s="83"/>
      <c r="H169" s="83"/>
      <c r="I169" s="83"/>
      <c r="J169" s="83"/>
      <c r="K169" s="83"/>
      <c r="L169" s="83"/>
      <c r="M169" s="83"/>
      <c r="N169" s="83"/>
      <c r="O169" s="83"/>
      <c r="P169" s="83"/>
      <c r="Q169" s="83"/>
      <c r="R169" s="83"/>
      <c r="S169" s="83"/>
      <c r="U169" s="82"/>
      <c r="V169" s="95"/>
      <c r="W169" s="95"/>
    </row>
    <row r="170" spans="1:23">
      <c r="B170" s="388">
        <v>9.85</v>
      </c>
      <c r="D170" s="156">
        <f>D178</f>
        <v>12.058777502800043</v>
      </c>
      <c r="E170" s="83"/>
      <c r="F170" s="157">
        <f>F178</f>
        <v>7.8211967872228785</v>
      </c>
      <c r="G170" s="83"/>
      <c r="H170" s="156">
        <f>H174</f>
        <v>15.246324268722059</v>
      </c>
      <c r="I170" s="83"/>
      <c r="J170" s="157">
        <f>Rig_tip_pilastro!E73</f>
        <v>8.7728827313948567</v>
      </c>
      <c r="K170" s="83"/>
      <c r="L170" s="83"/>
      <c r="M170" s="157">
        <f>J170</f>
        <v>8.7728827313948567</v>
      </c>
      <c r="N170" s="83"/>
      <c r="O170" s="156">
        <f>H170</f>
        <v>15.246324268722059</v>
      </c>
      <c r="P170" s="83"/>
      <c r="Q170" s="157">
        <f>F170</f>
        <v>7.8211967872228785</v>
      </c>
      <c r="R170" s="83"/>
      <c r="S170" s="156">
        <f>S166</f>
        <v>12.058777502800043</v>
      </c>
      <c r="U170" s="82"/>
      <c r="V170" s="95"/>
      <c r="W170" s="95"/>
    </row>
    <row r="171" spans="1:23">
      <c r="B171" s="388"/>
      <c r="D171" s="83"/>
      <c r="E171" s="83"/>
      <c r="F171" s="83"/>
      <c r="G171" s="83"/>
      <c r="H171" s="83"/>
      <c r="I171" s="83"/>
      <c r="J171" s="83"/>
      <c r="K171" s="83"/>
      <c r="L171" s="83"/>
      <c r="M171" s="83"/>
      <c r="N171" s="83"/>
      <c r="O171" s="83"/>
      <c r="P171" s="83"/>
      <c r="Q171" s="83"/>
      <c r="R171" s="83"/>
      <c r="S171" s="83"/>
      <c r="U171" s="82"/>
      <c r="V171" s="95"/>
      <c r="W171" s="95"/>
    </row>
    <row r="172" spans="1:23">
      <c r="B172" s="388"/>
      <c r="D172" s="83"/>
      <c r="E172" s="83"/>
      <c r="F172" s="83"/>
      <c r="G172" s="83"/>
      <c r="H172" s="83"/>
      <c r="I172" s="83"/>
      <c r="J172" s="83"/>
      <c r="K172" s="83"/>
      <c r="L172" s="83"/>
      <c r="M172" s="83"/>
      <c r="N172" s="83"/>
      <c r="O172" s="83"/>
      <c r="P172" s="83"/>
      <c r="Q172" s="83"/>
      <c r="R172" s="83"/>
      <c r="S172" s="83"/>
      <c r="U172" s="82"/>
      <c r="V172" s="95"/>
      <c r="W172" s="95"/>
    </row>
    <row r="173" spans="1:23" ht="15.75" thickBot="1">
      <c r="B173" s="388"/>
      <c r="D173" s="83"/>
      <c r="E173" s="83"/>
      <c r="F173" s="83"/>
      <c r="G173" s="83"/>
      <c r="H173" s="83"/>
      <c r="I173" s="83"/>
      <c r="J173" s="83"/>
      <c r="K173" s="83"/>
      <c r="L173" s="83"/>
      <c r="M173" s="83"/>
      <c r="N173" s="83"/>
      <c r="O173" s="83"/>
      <c r="P173" s="83"/>
      <c r="Q173" s="83"/>
      <c r="R173" s="83"/>
      <c r="S173" s="83"/>
      <c r="U173" s="82"/>
      <c r="V173" s="95"/>
      <c r="W173" s="95"/>
    </row>
    <row r="174" spans="1:23" ht="15.75" thickBot="1">
      <c r="B174" s="388">
        <v>6.65</v>
      </c>
      <c r="D174" s="156">
        <f>D178</f>
        <v>12.058777502800043</v>
      </c>
      <c r="E174" s="83"/>
      <c r="F174" s="157">
        <f>F178</f>
        <v>7.8211967872228785</v>
      </c>
      <c r="G174" s="83"/>
      <c r="H174" s="156">
        <f>Rig_tip_pilastro!E70</f>
        <v>15.246324268722059</v>
      </c>
      <c r="I174" s="83"/>
      <c r="J174" s="168">
        <f>Rig_tip_pilastro!E67</f>
        <v>22.161748101519208</v>
      </c>
      <c r="K174" s="83"/>
      <c r="L174" s="83"/>
      <c r="M174" s="156">
        <f>J174</f>
        <v>22.161748101519208</v>
      </c>
      <c r="N174" s="83"/>
      <c r="O174" s="156">
        <f>H174</f>
        <v>15.246324268722059</v>
      </c>
      <c r="P174" s="83"/>
      <c r="Q174" s="157">
        <f>Q166</f>
        <v>7.8211967872228785</v>
      </c>
      <c r="R174" s="83"/>
      <c r="S174" s="156">
        <f>S166</f>
        <v>12.058777502800043</v>
      </c>
      <c r="U174" s="82"/>
      <c r="V174" s="95"/>
      <c r="W174" s="95"/>
    </row>
    <row r="175" spans="1:23">
      <c r="B175" s="388"/>
      <c r="D175" s="83"/>
      <c r="E175" s="83"/>
      <c r="F175" s="83"/>
      <c r="G175" s="83"/>
      <c r="H175" s="83"/>
      <c r="I175" s="83"/>
      <c r="J175" s="83"/>
      <c r="K175" s="83"/>
      <c r="L175" s="83"/>
      <c r="M175" s="83"/>
      <c r="N175" s="83"/>
      <c r="O175" s="83"/>
      <c r="P175" s="83"/>
      <c r="Q175" s="83"/>
      <c r="R175" s="83"/>
      <c r="S175" s="160"/>
      <c r="U175" s="82"/>
      <c r="V175" s="95"/>
      <c r="W175" s="95"/>
    </row>
    <row r="176" spans="1:23">
      <c r="B176" s="388"/>
      <c r="D176" s="83"/>
      <c r="E176" s="83"/>
      <c r="F176" s="83"/>
      <c r="G176" s="83"/>
      <c r="H176" s="83"/>
      <c r="I176" s="83"/>
      <c r="J176" s="83"/>
      <c r="K176" s="83"/>
      <c r="L176" s="83"/>
      <c r="M176" s="83"/>
      <c r="N176" s="83"/>
      <c r="O176" s="83"/>
      <c r="P176" s="83"/>
      <c r="Q176" s="83"/>
      <c r="R176" s="83"/>
      <c r="S176" s="83"/>
      <c r="U176" s="82"/>
      <c r="V176" s="95"/>
      <c r="W176" s="95"/>
    </row>
    <row r="177" spans="2:25">
      <c r="B177" s="388"/>
      <c r="D177" s="83"/>
      <c r="E177" s="83"/>
      <c r="F177" s="83"/>
      <c r="G177" s="83"/>
      <c r="H177" s="83"/>
      <c r="I177" s="83"/>
      <c r="J177" s="83"/>
      <c r="K177" s="83"/>
      <c r="L177" s="83"/>
      <c r="M177" s="83"/>
      <c r="N177" s="83"/>
      <c r="O177" s="83"/>
      <c r="P177" s="83"/>
      <c r="Q177" s="83"/>
      <c r="R177" s="83"/>
      <c r="S177" s="83"/>
      <c r="U177" s="82"/>
      <c r="V177" s="95"/>
      <c r="W177" s="95"/>
    </row>
    <row r="178" spans="2:25">
      <c r="B178" s="388">
        <v>1.65</v>
      </c>
      <c r="D178" s="156">
        <f>Rig_tip_pilastro!E69</f>
        <v>12.058777502800043</v>
      </c>
      <c r="E178" s="83"/>
      <c r="F178" s="157">
        <f>Rig_tip_pilastro!E72</f>
        <v>7.8211967872228785</v>
      </c>
      <c r="G178" s="83"/>
      <c r="H178" s="157">
        <f>Rig_tip_pilastro!E75</f>
        <v>2.3730687066935863</v>
      </c>
      <c r="I178" s="83"/>
      <c r="J178" s="156">
        <f>D178</f>
        <v>12.058777502800043</v>
      </c>
      <c r="K178" s="83"/>
      <c r="L178" s="83"/>
      <c r="M178" s="156">
        <f>J178</f>
        <v>12.058777502800043</v>
      </c>
      <c r="N178" s="83"/>
      <c r="O178" s="157">
        <f>H178</f>
        <v>2.3730687066935863</v>
      </c>
      <c r="P178" s="83"/>
      <c r="Q178" s="157">
        <f>Q166</f>
        <v>7.8211967872228785</v>
      </c>
      <c r="R178" s="83"/>
      <c r="S178" s="156">
        <f>S166</f>
        <v>12.058777502800043</v>
      </c>
      <c r="U178" s="82"/>
      <c r="V178" s="95"/>
      <c r="W178" s="95"/>
    </row>
    <row r="180" spans="2:25">
      <c r="U180" s="82"/>
      <c r="V180" s="95"/>
      <c r="W180" s="95"/>
    </row>
    <row r="181" spans="2:25">
      <c r="B181" s="83" t="s">
        <v>202</v>
      </c>
      <c r="D181" s="82">
        <f>D166+D170+D174+D178</f>
        <v>48.23511001120017</v>
      </c>
      <c r="E181" s="83"/>
      <c r="F181" s="82">
        <f>F166+F170+F174+F178</f>
        <v>31.284787148891514</v>
      </c>
      <c r="G181" s="83"/>
      <c r="H181" s="82">
        <f>H170+H174+H178</f>
        <v>32.865717244137706</v>
      </c>
      <c r="I181" s="82">
        <f>I166</f>
        <v>2.0916425538037853</v>
      </c>
      <c r="J181" s="82">
        <f>J170+J174+J178</f>
        <v>42.993408335714108</v>
      </c>
      <c r="K181" s="83"/>
      <c r="L181" s="83"/>
      <c r="M181" s="82">
        <f>J181</f>
        <v>42.993408335714108</v>
      </c>
      <c r="N181" s="82">
        <f>I181</f>
        <v>2.0916425538037853</v>
      </c>
      <c r="O181" s="82">
        <f>H181</f>
        <v>32.865717244137706</v>
      </c>
      <c r="P181" s="83"/>
      <c r="Q181" s="82">
        <f>F181</f>
        <v>31.284787148891514</v>
      </c>
      <c r="R181" s="83"/>
      <c r="S181" s="82">
        <f>D181</f>
        <v>48.23511001120017</v>
      </c>
      <c r="U181" s="82">
        <f>D181+F181+H181+I181+J181+M181+N181+O181+Q181+S181</f>
        <v>314.94133058749452</v>
      </c>
      <c r="W181" s="95" t="s">
        <v>214</v>
      </c>
      <c r="X181" s="369" t="s">
        <v>390</v>
      </c>
      <c r="Y181" s="95" t="s">
        <v>391</v>
      </c>
    </row>
    <row r="182" spans="2:25">
      <c r="U182" s="83"/>
      <c r="W182" s="368"/>
      <c r="X182" s="368"/>
      <c r="Y182" s="368"/>
    </row>
    <row r="183" spans="2:25">
      <c r="B183" s="83" t="s">
        <v>206</v>
      </c>
      <c r="D183" s="95">
        <f>D181*D164</f>
        <v>79.587931518480275</v>
      </c>
      <c r="E183" s="95"/>
      <c r="F183" s="95">
        <f>F181*F164</f>
        <v>186.14448353590453</v>
      </c>
      <c r="G183" s="95"/>
      <c r="H183" s="95">
        <f>H181*H164</f>
        <v>307.29445623268754</v>
      </c>
      <c r="I183" s="95">
        <f>I181*I164</f>
        <v>22.694321708771071</v>
      </c>
      <c r="J183" s="95">
        <f>J181*J164</f>
        <v>533.11826336285492</v>
      </c>
      <c r="K183" s="95"/>
      <c r="L183" s="95"/>
      <c r="M183" s="95">
        <f>M181*M164</f>
        <v>722.28926003999709</v>
      </c>
      <c r="N183" s="95">
        <f>N181*N164</f>
        <v>38.381640862299463</v>
      </c>
      <c r="O183" s="95">
        <f>O181*O164</f>
        <v>652.38448729613356</v>
      </c>
      <c r="P183" s="95"/>
      <c r="Q183" s="95">
        <f>Q181*Q164</f>
        <v>727.37130121172765</v>
      </c>
      <c r="R183" s="95"/>
      <c r="S183" s="95">
        <f>S181*S164</f>
        <v>1328.8772808085648</v>
      </c>
      <c r="U183" s="95">
        <f>D183+F183+H183+I183+J183+M183+N183+O183+Q183+S183</f>
        <v>4598.1434265774215</v>
      </c>
      <c r="W183" s="367">
        <f>U183/U181</f>
        <v>14.600000000000005</v>
      </c>
      <c r="X183" s="95">
        <f>U185-U181*W183^2</f>
        <v>23146.635348800963</v>
      </c>
      <c r="Y183" s="367">
        <f>SQRT(Y186/U181)</f>
        <v>10.299399900182536</v>
      </c>
    </row>
    <row r="184" spans="2:25">
      <c r="U184" s="83"/>
      <c r="W184" s="368"/>
      <c r="X184" s="368"/>
      <c r="Y184" s="368"/>
    </row>
    <row r="185" spans="2:25" ht="17.25">
      <c r="B185" s="83" t="s">
        <v>207</v>
      </c>
      <c r="D185" s="95">
        <f>D181*D164^2</f>
        <v>131.32008700549244</v>
      </c>
      <c r="E185" s="95"/>
      <c r="F185" s="95">
        <f>F181*F164^2</f>
        <v>1107.5596770386319</v>
      </c>
      <c r="G185" s="95"/>
      <c r="H185" s="95">
        <f>H181*H164^2</f>
        <v>2873.2031657756283</v>
      </c>
      <c r="I185" s="95">
        <f>I181*I164^2</f>
        <v>246.23339054016611</v>
      </c>
      <c r="J185" s="95">
        <f>J181*J164^2</f>
        <v>6610.6664656994017</v>
      </c>
      <c r="M185" s="95">
        <f>M181*M164^2</f>
        <v>12134.459568671949</v>
      </c>
      <c r="N185" s="95">
        <f>N181*N164^2</f>
        <v>704.30310982319509</v>
      </c>
      <c r="O185" s="95">
        <f>O181*O164^2</f>
        <v>12949.832072828251</v>
      </c>
      <c r="P185" s="95"/>
      <c r="Q185" s="95">
        <f>Q181*Q164^2</f>
        <v>16911.382753172667</v>
      </c>
      <c r="R185" s="95"/>
      <c r="S185" s="95">
        <f>S181*S164^2</f>
        <v>36610.569086275958</v>
      </c>
      <c r="T185" s="95"/>
      <c r="U185" s="95">
        <f>D185+F185+H185+I185+J185+M185+N185+O185+Q185+S185</f>
        <v>90279.529376831342</v>
      </c>
      <c r="W185" s="368"/>
      <c r="X185" s="368"/>
      <c r="Y185" s="368"/>
    </row>
    <row r="186" spans="2:25">
      <c r="W186" s="368"/>
      <c r="X186" s="94" t="s">
        <v>388</v>
      </c>
      <c r="Y186" s="363">
        <f>Z145+X183</f>
        <v>33408.232553002948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B2:R48"/>
  <sheetViews>
    <sheetView workbookViewId="0">
      <selection activeCell="F3" sqref="F3"/>
    </sheetView>
  </sheetViews>
  <sheetFormatPr defaultRowHeight="15"/>
  <cols>
    <col min="2" max="2" width="10.7109375" customWidth="1"/>
    <col min="6" max="6" width="12" customWidth="1"/>
    <col min="8" max="8" width="11.7109375" customWidth="1"/>
    <col min="9" max="9" width="12.28515625" customWidth="1"/>
    <col min="10" max="10" width="11.85546875" customWidth="1"/>
    <col min="14" max="14" width="11.7109375" customWidth="1"/>
  </cols>
  <sheetData>
    <row r="2" spans="2:18">
      <c r="B2" s="164" t="s">
        <v>210</v>
      </c>
      <c r="C2" s="165" t="s">
        <v>211</v>
      </c>
      <c r="D2" s="165" t="s">
        <v>212</v>
      </c>
      <c r="E2" s="165" t="s">
        <v>214</v>
      </c>
      <c r="F2" s="165" t="s">
        <v>213</v>
      </c>
      <c r="G2" s="166" t="s">
        <v>218</v>
      </c>
      <c r="H2" s="165" t="s">
        <v>219</v>
      </c>
      <c r="I2" s="171" t="s">
        <v>66</v>
      </c>
      <c r="J2" s="165" t="s">
        <v>393</v>
      </c>
      <c r="K2" s="165" t="s">
        <v>394</v>
      </c>
    </row>
    <row r="3" spans="2:18">
      <c r="B3" s="99" t="s">
        <v>215</v>
      </c>
      <c r="C3" s="29">
        <f>'Periodo proprio'!C5</f>
        <v>442.07476256928328</v>
      </c>
      <c r="D3" s="29">
        <f>'Periodo proprio'!D5</f>
        <v>327.74095863689706</v>
      </c>
      <c r="E3" s="31">
        <f>Bilanciamento!U183/Bilanciamento!U181</f>
        <v>14.600000000000005</v>
      </c>
      <c r="F3" s="29">
        <f>Bilanciamento!V159/Bilanciamento!U159</f>
        <v>7.651425193038321</v>
      </c>
      <c r="G3" s="30">
        <v>14.58</v>
      </c>
      <c r="H3" s="162">
        <v>8.43</v>
      </c>
      <c r="I3" s="7">
        <f>SQRT(4.35^2+8.19^2)</f>
        <v>9.2735430122472611</v>
      </c>
      <c r="J3" s="29">
        <f>Bilanciamento!AA145</f>
        <v>8.6931843377288747</v>
      </c>
      <c r="K3" s="29">
        <f>Bilanciamento!Y183</f>
        <v>10.299399900182536</v>
      </c>
    </row>
    <row r="4" spans="2:18">
      <c r="B4" s="99">
        <v>5</v>
      </c>
      <c r="C4" s="29">
        <f>'Periodo proprio'!C6</f>
        <v>525.4270996617721</v>
      </c>
      <c r="D4" s="29">
        <f>'Periodo proprio'!D6</f>
        <v>363.1653128092168</v>
      </c>
      <c r="E4" s="31">
        <f>Bilanciamento!U136/Bilanciamento!U134</f>
        <v>14.599999999999998</v>
      </c>
      <c r="F4" s="29">
        <f>Bilanciamento!V112/Bilanciamento!U112</f>
        <v>7.6990457367445977</v>
      </c>
      <c r="G4" s="1">
        <v>14.6</v>
      </c>
      <c r="H4" s="1">
        <v>8.3699999999999992</v>
      </c>
      <c r="I4" s="29">
        <f>SQRT(4.25^2+8.15^2)</f>
        <v>9.1915722267738289</v>
      </c>
      <c r="J4" s="29">
        <f>Bilanciamento!AA98</f>
        <v>8.648508708503142</v>
      </c>
      <c r="K4" s="29">
        <f>Bilanciamento!Y136</f>
        <v>10.402680996589337</v>
      </c>
    </row>
    <row r="5" spans="2:18">
      <c r="B5" s="99">
        <v>4</v>
      </c>
      <c r="C5" s="29">
        <f>'Periodo proprio'!C7</f>
        <v>620.91690105854082</v>
      </c>
      <c r="D5" s="29">
        <f>'Periodo proprio'!D7</f>
        <v>439.3919801359371</v>
      </c>
      <c r="E5" s="31">
        <f>E7</f>
        <v>14.600000000000003</v>
      </c>
      <c r="F5" s="29">
        <f>F7</f>
        <v>7.7336669513588729</v>
      </c>
      <c r="G5" s="1">
        <v>14.6</v>
      </c>
      <c r="H5" s="1">
        <v>8.3699999999999992</v>
      </c>
      <c r="I5" s="29">
        <f>I4</f>
        <v>9.1915722267738289</v>
      </c>
      <c r="J5" s="29">
        <f>Bilanciamento!AA5</f>
        <v>8.7740127081959081</v>
      </c>
      <c r="K5" s="29">
        <f>Bilanciamento!Y43</f>
        <v>10.430111156091971</v>
      </c>
    </row>
    <row r="6" spans="2:18">
      <c r="B6" s="99">
        <v>3</v>
      </c>
      <c r="C6" s="29">
        <f>'Periodo proprio'!C8</f>
        <v>620.91690105854082</v>
      </c>
      <c r="D6" s="29">
        <f>'Periodo proprio'!D8</f>
        <v>439.3919801359371</v>
      </c>
      <c r="E6" s="31">
        <f>E7</f>
        <v>14.600000000000003</v>
      </c>
      <c r="F6" s="29">
        <f>F7</f>
        <v>7.7336669513588729</v>
      </c>
      <c r="G6" s="1">
        <v>14.6</v>
      </c>
      <c r="H6" s="1">
        <v>8.3699999999999992</v>
      </c>
      <c r="I6" s="29">
        <f>I5</f>
        <v>9.1915722267738289</v>
      </c>
      <c r="J6" s="29">
        <f>J5</f>
        <v>8.7740127081959081</v>
      </c>
      <c r="K6" s="29">
        <f>K5</f>
        <v>10.430111156091971</v>
      </c>
    </row>
    <row r="7" spans="2:18">
      <c r="B7" s="99">
        <v>2</v>
      </c>
      <c r="C7" s="29">
        <f>'Periodo proprio'!C9</f>
        <v>620.91690105854082</v>
      </c>
      <c r="D7" s="29">
        <f>'Periodo proprio'!D9</f>
        <v>439.3919801359371</v>
      </c>
      <c r="E7" s="31">
        <f>Bilanciamento!U43/Bilanciamento!U41</f>
        <v>14.600000000000003</v>
      </c>
      <c r="F7" s="29">
        <f>Bilanciamento!V19/Bilanciamento!U19</f>
        <v>7.7336669513588729</v>
      </c>
      <c r="G7" s="1">
        <v>14.6</v>
      </c>
      <c r="H7" s="1">
        <v>8.3699999999999992</v>
      </c>
      <c r="I7" s="29">
        <f>I6</f>
        <v>9.1915722267738289</v>
      </c>
      <c r="J7" s="29">
        <f>J5</f>
        <v>8.7740127081959081</v>
      </c>
      <c r="K7" s="29">
        <f>K5</f>
        <v>10.430111156091971</v>
      </c>
    </row>
    <row r="8" spans="2:18">
      <c r="B8" s="99">
        <v>1</v>
      </c>
      <c r="C8" s="55">
        <f>'Periodo proprio'!C10</f>
        <v>668.03658396553453</v>
      </c>
      <c r="D8" s="55">
        <f>'Periodo proprio'!D10</f>
        <v>603.25297291915933</v>
      </c>
      <c r="E8" s="169">
        <f>Bilanciamento!U90/Bilanciamento!U88</f>
        <v>14.600000000000001</v>
      </c>
      <c r="F8" s="55">
        <f>Bilanciamento!V66/Bilanciamento!U66</f>
        <v>8.084882682893042</v>
      </c>
      <c r="G8" s="2">
        <v>14.6</v>
      </c>
      <c r="H8" s="2">
        <v>8.64</v>
      </c>
      <c r="I8" s="55">
        <f>SQRT(4.01^2+7.39^2)</f>
        <v>8.4078653652398589</v>
      </c>
      <c r="J8" s="55">
        <f>Bilanciamento!AA52</f>
        <v>9.9653056273802356</v>
      </c>
      <c r="K8" s="55">
        <f>Bilanciamento!Y90</f>
        <v>10.486752313825047</v>
      </c>
    </row>
    <row r="10" spans="2:18" ht="18.75">
      <c r="B10" s="155" t="s">
        <v>235</v>
      </c>
      <c r="F10" s="155" t="s">
        <v>236</v>
      </c>
      <c r="K10" s="370" t="s">
        <v>94</v>
      </c>
      <c r="L10" s="371"/>
      <c r="M10" s="370" t="s">
        <v>95</v>
      </c>
      <c r="N10" s="371"/>
    </row>
    <row r="11" spans="2:18">
      <c r="B11" s="13" t="s">
        <v>226</v>
      </c>
      <c r="C11" s="164" t="s">
        <v>225</v>
      </c>
      <c r="D11" s="164" t="s">
        <v>228</v>
      </c>
      <c r="E11" s="198"/>
      <c r="F11" s="199" t="s">
        <v>237</v>
      </c>
      <c r="G11" s="164" t="s">
        <v>225</v>
      </c>
      <c r="H11" s="201" t="s">
        <v>228</v>
      </c>
      <c r="I11" s="11"/>
      <c r="J11" s="11"/>
      <c r="K11" s="164" t="s">
        <v>225</v>
      </c>
      <c r="L11" s="164" t="s">
        <v>228</v>
      </c>
      <c r="M11" s="164" t="s">
        <v>225</v>
      </c>
      <c r="N11" s="164" t="s">
        <v>228</v>
      </c>
      <c r="Q11" s="492"/>
      <c r="R11" s="492"/>
    </row>
    <row r="12" spans="2:18">
      <c r="B12" s="99">
        <v>6</v>
      </c>
      <c r="C12" s="7">
        <f>Bilanciamento!D157+Bilanciamento!F157+Bilanciamento!H157+Bilanciamento!J157</f>
        <v>66.55024825765004</v>
      </c>
      <c r="D12" s="7">
        <f>[12]RIG!$F$2+[12]RIG!$F$8+[12]RIG!$F$14+[12]RIG!$F$20</f>
        <v>51.963999999999999</v>
      </c>
      <c r="E12" s="81"/>
      <c r="F12" s="99">
        <v>6</v>
      </c>
      <c r="G12" s="22">
        <f>Bilanciamento!D178+Bilanciamento!D174+Bilanciamento!D170+Bilanciamento!D166</f>
        <v>48.23511001120017</v>
      </c>
      <c r="H12" s="195">
        <f>[12]RIG!$G$188+[12]RIG!$G$194+[12]RIG!$G$200+[12]RIG!$G$206</f>
        <v>38.009</v>
      </c>
      <c r="I12" s="11"/>
      <c r="J12" s="53"/>
      <c r="K12" s="206">
        <f t="shared" ref="K12:L17" si="0">2*C12+C22+C32+C42</f>
        <v>442.07476256928322</v>
      </c>
      <c r="L12" s="206">
        <f t="shared" si="0"/>
        <v>375.99400000000003</v>
      </c>
      <c r="M12" s="206">
        <f t="shared" ref="M12:M17" si="1">2*(G12+G22+G32+G42)</f>
        <v>310.75804547988696</v>
      </c>
      <c r="N12" s="206">
        <f>2*(H12+H22+H32+H47)</f>
        <v>294.51800000000003</v>
      </c>
      <c r="Q12" s="81"/>
      <c r="R12" s="81"/>
    </row>
    <row r="13" spans="2:18">
      <c r="B13" s="99">
        <v>5</v>
      </c>
      <c r="C13" s="29">
        <f>Bilanciamento!D110+Bilanciamento!F110+Bilanciamento!H110+Bilanciamento!J110</f>
        <v>79.43337613017043</v>
      </c>
      <c r="D13" s="29">
        <f>[12]RIG!$F$3+[12]RIG!$F$9+[12]RIG!$F$15+[12]RIG!$F$21</f>
        <v>71.88</v>
      </c>
      <c r="E13" s="43"/>
      <c r="F13" s="99">
        <v>5</v>
      </c>
      <c r="G13" s="23">
        <f>Bilanciamento!D131+Bilanciamento!D127+Bilanciamento!D123+Bilanciamento!D119</f>
        <v>57.112849749681558</v>
      </c>
      <c r="H13" s="29">
        <f>[12]RIG!$G$189+[12]RIG!$G$195+[12]RIG!$G$201+[12]RIG!$G$207</f>
        <v>54.874000000000002</v>
      </c>
      <c r="I13" s="11"/>
      <c r="J13" s="53"/>
      <c r="K13" s="56">
        <f t="shared" si="0"/>
        <v>525.42709966177222</v>
      </c>
      <c r="L13" s="56">
        <f t="shared" si="0"/>
        <v>493.54999999999995</v>
      </c>
      <c r="M13" s="56">
        <f t="shared" si="1"/>
        <v>359.26655688893572</v>
      </c>
      <c r="N13" s="56">
        <f>2*(H13+H23+H33+H43)</f>
        <v>315.08600000000001</v>
      </c>
      <c r="Q13" s="43"/>
      <c r="R13" s="43"/>
    </row>
    <row r="14" spans="2:18">
      <c r="B14" s="99">
        <v>4</v>
      </c>
      <c r="C14" s="29">
        <f>Bilanciamento!D17+Bilanciamento!F17+Bilanciamento!H17+Bilanciamento!J17</f>
        <v>94.264719474738754</v>
      </c>
      <c r="D14" s="29">
        <f>[12]RIG!$F$4+[12]RIG!$F$10+[12]RIG!$F$16+[12]RIG!$F$22</f>
        <v>83.876999999999995</v>
      </c>
      <c r="E14" s="43"/>
      <c r="F14" s="99">
        <v>4</v>
      </c>
      <c r="G14" s="23">
        <f>Bilanciamento!D38+Bilanciamento!D34+Bilanciamento!D30+Bilanciamento!D26</f>
        <v>71.095171636165105</v>
      </c>
      <c r="H14" s="29">
        <f>[12]RIG!$G$190+[12]RIG!$G$196+[12]RIG!$G$202+[12]RIG!$G$208</f>
        <v>64.516999999999996</v>
      </c>
      <c r="I14" s="11"/>
      <c r="J14" s="53"/>
      <c r="K14" s="56">
        <f t="shared" si="0"/>
        <v>620.9169010585407</v>
      </c>
      <c r="L14" s="56">
        <f t="shared" si="0"/>
        <v>563.41100000000006</v>
      </c>
      <c r="M14" s="56">
        <f t="shared" si="1"/>
        <v>435.49322421565603</v>
      </c>
      <c r="N14" s="56">
        <f>2*(H14+H24+H34+H44)</f>
        <v>374.73400000000004</v>
      </c>
      <c r="Q14" s="43"/>
      <c r="R14" s="43"/>
    </row>
    <row r="15" spans="2:18">
      <c r="B15" s="99">
        <v>3</v>
      </c>
      <c r="C15" s="29">
        <f>C14</f>
        <v>94.264719474738754</v>
      </c>
      <c r="D15" s="29">
        <f>[12]RIG!$F$5+[12]RIG!$F$11+[12]RIG!$F$17+[12]RIG!$F$23</f>
        <v>86.977000000000018</v>
      </c>
      <c r="E15" s="43"/>
      <c r="F15" s="99">
        <v>3</v>
      </c>
      <c r="G15" s="23">
        <f>G14</f>
        <v>71.095171636165105</v>
      </c>
      <c r="H15" s="29">
        <f>[12]RIG!$G$191+[12]RIG!$G$197+[12]RIG!$G$203+[12]RIG!$G$209</f>
        <v>68.467000000000013</v>
      </c>
      <c r="I15" s="11"/>
      <c r="J15" s="53"/>
      <c r="K15" s="56">
        <f t="shared" si="0"/>
        <v>620.9169010585407</v>
      </c>
      <c r="L15" s="56">
        <f t="shared" si="0"/>
        <v>580.4140000000001</v>
      </c>
      <c r="M15" s="56">
        <f t="shared" si="1"/>
        <v>435.49322421565603</v>
      </c>
      <c r="N15" s="56">
        <f>2*(H15+H25+H35+H45)</f>
        <v>402.56200000000001</v>
      </c>
      <c r="Q15" s="43"/>
      <c r="R15" s="43"/>
    </row>
    <row r="16" spans="2:18">
      <c r="B16" s="99">
        <v>2</v>
      </c>
      <c r="C16" s="29">
        <f>C15</f>
        <v>94.264719474738754</v>
      </c>
      <c r="D16" s="29">
        <f>[12]RIG!$F$6+[12]RIG!$F$12+[12]RIG!$F$18+[12]RIG!$F$24</f>
        <v>90.676000000000002</v>
      </c>
      <c r="E16" s="43"/>
      <c r="F16" s="99">
        <v>2</v>
      </c>
      <c r="G16" s="23">
        <f>G15</f>
        <v>71.095171636165105</v>
      </c>
      <c r="H16" s="29">
        <f>[12]RIG!$G$192+[12]RIG!$G$198+[12]RIG!$G$204+[12]RIG!$G$210</f>
        <v>72.134</v>
      </c>
      <c r="I16" s="11"/>
      <c r="J16" s="53"/>
      <c r="K16" s="56">
        <f t="shared" si="0"/>
        <v>620.9169010585407</v>
      </c>
      <c r="L16" s="56">
        <f t="shared" si="0"/>
        <v>595.40899999999999</v>
      </c>
      <c r="M16" s="56">
        <f t="shared" si="1"/>
        <v>435.49322421565603</v>
      </c>
      <c r="N16" s="56">
        <f>2*(H16+H26+H36+H46)</f>
        <v>436.67599999999999</v>
      </c>
      <c r="Q16" s="43"/>
      <c r="R16" s="43"/>
    </row>
    <row r="17" spans="2:18">
      <c r="B17" s="99">
        <v>1</v>
      </c>
      <c r="C17" s="55">
        <f>Bilanciamento!D64+Bilanciamento!F64+Bilanciamento!H64+Bilanciamento!J64</f>
        <v>98.616980649991092</v>
      </c>
      <c r="D17" s="55">
        <f>[12]RIG!$F$7+[12]RIG!$F$13+[12]RIG!$F$19+[12]RIG!$F$25</f>
        <v>95.522000000000006</v>
      </c>
      <c r="E17" s="43"/>
      <c r="F17" s="99">
        <v>1</v>
      </c>
      <c r="G17" s="173">
        <f>Bilanciamento!D85+Bilanciamento!D81+Bilanciamento!D77+Bilanciamento!D73</f>
        <v>116.84315198822139</v>
      </c>
      <c r="H17" s="55">
        <f>[12]RIG!$G$193+[12]RIG!$G$199+[12]RIG!$G$205+[12]RIG!$G$211</f>
        <v>110.71</v>
      </c>
      <c r="I17" s="11"/>
      <c r="J17" s="53"/>
      <c r="K17" s="212">
        <f t="shared" si="0"/>
        <v>668.03658396553465</v>
      </c>
      <c r="L17" s="212">
        <f t="shared" si="0"/>
        <v>653.87599999999998</v>
      </c>
      <c r="M17" s="212">
        <f t="shared" si="1"/>
        <v>594.33508143629524</v>
      </c>
      <c r="N17" s="212">
        <f>2*(H17+H27+H37+H47)</f>
        <v>559.01599999999996</v>
      </c>
      <c r="Q17" s="43"/>
      <c r="R17" s="43"/>
    </row>
    <row r="18" spans="2:18">
      <c r="E18" s="43"/>
      <c r="I18" s="12"/>
      <c r="J18" s="12"/>
      <c r="K18" s="12"/>
      <c r="Q18" s="43"/>
      <c r="R18" s="43"/>
    </row>
    <row r="19" spans="2:18">
      <c r="E19" s="43"/>
      <c r="I19" s="12"/>
      <c r="J19" s="12"/>
      <c r="K19" s="12"/>
      <c r="Q19" s="43"/>
      <c r="R19" s="43"/>
    </row>
    <row r="20" spans="2:18">
      <c r="E20" s="43"/>
      <c r="I20" s="12"/>
      <c r="J20" s="12"/>
      <c r="K20" s="12"/>
      <c r="Q20" s="43"/>
      <c r="R20" s="43"/>
    </row>
    <row r="21" spans="2:18">
      <c r="B21" s="13" t="s">
        <v>227</v>
      </c>
      <c r="C21" s="200" t="s">
        <v>225</v>
      </c>
      <c r="D21" s="200" t="s">
        <v>228</v>
      </c>
      <c r="E21" s="198"/>
      <c r="F21" s="13" t="s">
        <v>238</v>
      </c>
      <c r="G21" s="164" t="s">
        <v>225</v>
      </c>
      <c r="H21" s="164" t="s">
        <v>228</v>
      </c>
      <c r="I21" s="11"/>
      <c r="J21" s="11"/>
      <c r="K21" s="11"/>
      <c r="Q21" s="492"/>
      <c r="R21" s="492"/>
    </row>
    <row r="22" spans="2:18">
      <c r="B22" s="99">
        <v>6</v>
      </c>
      <c r="C22" s="7">
        <f>Bilanciamento!D153+Bilanciamento!F153+Bilanciamento!H153+Bilanciamento!J153+Bilanciamento!M153+Bilanciamento!O153+Bilanciamento!Q153+Bilanciamento!S153</f>
        <v>97.940464040542309</v>
      </c>
      <c r="D22" s="7">
        <f>[12]RIG!$F$50+[12]RIG!$F$56+[12]RIG!$F$62+[12]RIG!$F$68+[12]RIG!$F$74+[12]RIG!$F$80+[12]RIG!$F$86+[12]RIG!$F$92</f>
        <v>76.512</v>
      </c>
      <c r="E22" s="81"/>
      <c r="F22" s="99">
        <v>6</v>
      </c>
      <c r="G22" s="7">
        <f>Bilanciamento!F178+Bilanciamento!F174+Bilanciamento!F170+Bilanciamento!F166</f>
        <v>31.284787148891514</v>
      </c>
      <c r="H22" s="7">
        <f>[12]RIG!$G$212+[12]RIG!$G$218+[12]RIG!$G$224+[12]RIG!$G$230</f>
        <v>30.058</v>
      </c>
      <c r="I22" s="11"/>
      <c r="J22" s="53"/>
      <c r="K22" s="11"/>
      <c r="Q22" s="81"/>
      <c r="R22" s="81"/>
    </row>
    <row r="23" spans="2:18">
      <c r="B23" s="99">
        <v>5</v>
      </c>
      <c r="C23" s="29">
        <f>Bilanciamento!D106+Bilanciamento!F106+Bilanciamento!H106+Bilanciamento!J106+Bilanciamento!M106+Bilanciamento!O106+Bilanciamento!Q106+Bilanciamento!S106</f>
        <v>112.77437893145908</v>
      </c>
      <c r="D23" s="29">
        <f>[12]RIG!$F$51+[12]RIG!$F$57+[12]RIG!$F$63+[12]RIG!$F$69+[12]RIG!$F$75+[12]RIG!$F$81+[12]RIG!$F$87+[12]RIG!$F$93</f>
        <v>96.51400000000001</v>
      </c>
      <c r="E23" s="43"/>
      <c r="F23" s="99">
        <v>5</v>
      </c>
      <c r="G23" s="29">
        <f>Bilanciamento!F131+Bilanciamento!F127+Bilanciamento!F123+Bilanciamento!F119</f>
        <v>34.25964316591817</v>
      </c>
      <c r="H23" s="29">
        <f>[12]RIG!$G$213+[12]RIG!$G$219+[12]RIG!$G$225+[12]RIG!$G$231</f>
        <v>32.402000000000001</v>
      </c>
      <c r="I23" s="11"/>
      <c r="J23" s="53"/>
      <c r="K23" s="11"/>
      <c r="Q23" s="43"/>
      <c r="R23" s="43"/>
    </row>
    <row r="24" spans="2:18">
      <c r="B24" s="99">
        <v>4</v>
      </c>
      <c r="C24" s="29">
        <f>Bilanciamento!D13+Bilanciamento!F13+Bilanciamento!H13+Bilanciamento!J13+Bilanciamento!M13+Bilanciamento!O13+Bilanciamento!Q13+Bilanciamento!S13</f>
        <v>129.80511865768426</v>
      </c>
      <c r="D24" s="29">
        <f>[12]RIG!$F$52+[12]RIG!$F$58+[12]RIG!$F$64+[12]RIG!$F$70+[12]RIG!$F$76+[12]RIG!$F$82+[12]RIG!$F$88+[12]RIG!$F$94</f>
        <v>108.428</v>
      </c>
      <c r="E24" s="43"/>
      <c r="F24" s="99">
        <v>4</v>
      </c>
      <c r="G24" s="29">
        <f>Bilanciamento!F38+Bilanciamento!F34+Bilanciamento!F30+Bilanciamento!F26</f>
        <v>39.528372875354101</v>
      </c>
      <c r="H24" s="29">
        <f>[12]RIG!$G$214+[12]RIG!$G$220+[12]RIG!$G$226+[12]RIG!$G$232</f>
        <v>36.859000000000002</v>
      </c>
      <c r="I24" s="11"/>
      <c r="J24" s="53"/>
      <c r="K24" s="11"/>
      <c r="Q24" s="43"/>
      <c r="R24" s="43"/>
    </row>
    <row r="25" spans="2:18">
      <c r="B25" s="99">
        <v>3</v>
      </c>
      <c r="C25" s="29">
        <f>C24</f>
        <v>129.80511865768426</v>
      </c>
      <c r="D25" s="29">
        <f>[12]RIG!$F$53+[12]RIG!$F$59+[12]RIG!$F$65+[12]RIG!$F$71+[12]RIG!$F$77+[12]RIG!$F$83+[12]RIG!$F$89+[12]RIG!$F$95</f>
        <v>112.346</v>
      </c>
      <c r="E25" s="43"/>
      <c r="F25" s="99">
        <v>3</v>
      </c>
      <c r="G25" s="29">
        <f>G24</f>
        <v>39.528372875354101</v>
      </c>
      <c r="H25" s="29">
        <f>[12]RIG!$G$215+[12]RIG!$G$221+[12]RIG!$G$227+[12]RIG!$G$233</f>
        <v>37.356000000000002</v>
      </c>
      <c r="I25" s="11"/>
      <c r="J25" s="53"/>
      <c r="K25" s="11"/>
      <c r="Q25" s="43"/>
      <c r="R25" s="43"/>
    </row>
    <row r="26" spans="2:18">
      <c r="B26" s="99">
        <v>2</v>
      </c>
      <c r="C26" s="29">
        <f>C25</f>
        <v>129.80511865768426</v>
      </c>
      <c r="D26" s="29">
        <f>[12]RIG!$F$54+[12]RIG!$F$60+[12]RIG!$F$66+[12]RIG!$F$72+[12]RIG!$F$78+[12]RIG!$F$84+[12]RIG!$F$90+[12]RIG!$F$96</f>
        <v>115.746</v>
      </c>
      <c r="E26" s="43"/>
      <c r="F26" s="99">
        <v>2</v>
      </c>
      <c r="G26" s="29">
        <f>G25</f>
        <v>39.528372875354101</v>
      </c>
      <c r="H26" s="29">
        <f>[12]RIG!$G$216+[12]RIG!$G$222+[12]RIG!$G$228+[12]RIG!$G$234</f>
        <v>39.400000000000006</v>
      </c>
      <c r="I26" s="11"/>
      <c r="J26" s="53"/>
      <c r="K26" s="11"/>
      <c r="Q26" s="43"/>
      <c r="R26" s="43"/>
    </row>
    <row r="27" spans="2:18">
      <c r="B27" s="99">
        <v>1</v>
      </c>
      <c r="C27" s="55">
        <f>Bilanciamento!D60+Bilanciamento!F60+Bilanciamento!H60+Bilanciamento!J60+Bilanciamento!M60+Bilanciamento!O60+Bilanciamento!Q60+Bilanciamento!S60</f>
        <v>125.7778657839675</v>
      </c>
      <c r="D27" s="55">
        <f>[12]RIG!$F$55+[12]RIG!$F$61+[12]RIG!$F$67+[12]RIG!$F$73+[12]RIG!$F$79+[12]RIG!$F$85+[12]RIG!$F$91+[12]RIG!$F$97</f>
        <v>122.60799999999999</v>
      </c>
      <c r="E27" s="43"/>
      <c r="F27" s="99">
        <v>1</v>
      </c>
      <c r="G27" s="55">
        <f>Bilanciamento!F85+Bilanciamento!F81+Bilanciamento!F77+Bilanciamento!F73</f>
        <v>35.5222154931893</v>
      </c>
      <c r="H27" s="55">
        <f>[12]RIG!$G$217+[12]RIG!$G$223+[12]RIG!$G$229+[12]RIG!$G$235</f>
        <v>32.812999999999995</v>
      </c>
      <c r="I27" s="11"/>
      <c r="J27" s="53"/>
      <c r="K27" s="11"/>
      <c r="Q27" s="43"/>
      <c r="R27" s="43"/>
    </row>
    <row r="28" spans="2:18">
      <c r="E28" s="43"/>
      <c r="I28" s="12"/>
      <c r="J28" s="12"/>
      <c r="K28" s="12"/>
      <c r="Q28" s="43"/>
      <c r="R28" s="43"/>
    </row>
    <row r="29" spans="2:18">
      <c r="E29" s="43"/>
      <c r="I29" s="12"/>
      <c r="J29" s="12"/>
      <c r="K29" s="12"/>
      <c r="Q29" s="43"/>
      <c r="R29" s="43"/>
    </row>
    <row r="30" spans="2:18">
      <c r="E30" s="43"/>
      <c r="I30" s="12"/>
      <c r="J30" s="12"/>
      <c r="K30" s="12"/>
      <c r="Q30" s="43"/>
      <c r="R30" s="43"/>
    </row>
    <row r="31" spans="2:18">
      <c r="B31" s="13" t="s">
        <v>229</v>
      </c>
      <c r="C31" s="200" t="s">
        <v>225</v>
      </c>
      <c r="D31" s="200" t="s">
        <v>228</v>
      </c>
      <c r="E31" s="198"/>
      <c r="F31" s="13" t="s">
        <v>239</v>
      </c>
      <c r="G31" s="164" t="s">
        <v>225</v>
      </c>
      <c r="H31" s="164" t="s">
        <v>228</v>
      </c>
      <c r="I31" s="11"/>
      <c r="J31" s="11"/>
      <c r="K31" s="11"/>
      <c r="Q31" s="492"/>
      <c r="R31" s="492"/>
    </row>
    <row r="32" spans="2:18">
      <c r="B32" s="99">
        <v>6</v>
      </c>
      <c r="C32" s="7">
        <f>Bilanciamento!D149+Bilanciamento!F149+Bilanciamento!H149+Bilanciamento!J149+Bilanciamento!M149+Bilanciamento!O149+Bilanciamento!Q149+Bilanciamento!S149</f>
        <v>134.41448863701538</v>
      </c>
      <c r="D32" s="7">
        <f>[12]RIG!$F$98+[12]RIG!$F$104+[12]RIG!$F$110+[12]RIG!$F$116+[12]RIG!$F$122+[12]RIG!$F$128+[12]RIG!$F$134+[12]RIG!$F$140</f>
        <v>123.852</v>
      </c>
      <c r="E32" s="81"/>
      <c r="F32" s="99">
        <v>6</v>
      </c>
      <c r="G32" s="206">
        <f>Bilanciamento!H170+Bilanciamento!H174+Bilanciamento!H178</f>
        <v>32.865717244137706</v>
      </c>
      <c r="H32" s="206">
        <f>[12]RIG!$G$236+[12]RIG!$G$242+[12]RIG!$G$248</f>
        <v>8.41</v>
      </c>
      <c r="I32" s="11"/>
      <c r="J32" s="53"/>
      <c r="K32" s="11"/>
      <c r="Q32" s="81"/>
      <c r="R32" s="81"/>
    </row>
    <row r="33" spans="2:18">
      <c r="B33" s="99">
        <v>5</v>
      </c>
      <c r="C33" s="29">
        <f>Bilanciamento!D102+Bilanciamento!F102+Bilanciamento!H102+Bilanciamento!J102+Bilanciamento!M102+Bilanciamento!O102+Bilanciamento!Q102+Bilanciamento!S102</f>
        <v>159.37610633403352</v>
      </c>
      <c r="D33" s="29">
        <f>[12]RIG!$F$99+[12]RIG!$F$105+[12]RIG!$F$111+[12]RIG!$F$117+[12]RIG!$F$123+[12]RIG!$F$129+[12]RIG!$F$135+[12]RIG!$F$141</f>
        <v>153.25199999999998</v>
      </c>
      <c r="E33" s="43"/>
      <c r="F33" s="99">
        <v>5</v>
      </c>
      <c r="G33" s="29">
        <f>Bilanciamento!H131+Bilanciamento!H127+Bilanciamento!H123</f>
        <v>37.15345341301807</v>
      </c>
      <c r="H33" s="29">
        <f>[12]RIG!$G$237+[12]RIG!$G$243+[12]RIG!$G$249</f>
        <v>25.753999999999998</v>
      </c>
      <c r="I33" s="11"/>
      <c r="J33" s="53"/>
      <c r="K33" s="11"/>
      <c r="Q33" s="43"/>
      <c r="R33" s="43"/>
    </row>
    <row r="34" spans="2:18">
      <c r="B34" s="99">
        <v>4</v>
      </c>
      <c r="C34" s="29">
        <f>Bilanciamento!D9+Bilanciamento!F9+Bilanciamento!H9+Bilanciamento!J9+Bilanciamento!M9+Bilanciamento!O9+Bilanciamento!Q9+Bilanciamento!S9</f>
        <v>188.02467603185985</v>
      </c>
      <c r="D34" s="29">
        <f>[12]RIG!$F$100+[12]RIG!$F$106+[12]RIG!$F$112+[12]RIG!$F$118+[12]RIG!$F$124+[12]RIG!$F$130+[12]RIG!$F$136+[12]RIG!$F$142</f>
        <v>173.61</v>
      </c>
      <c r="E34" s="43"/>
      <c r="F34" s="99">
        <v>4</v>
      </c>
      <c r="G34" s="29">
        <f>Bilanciamento!H38+Bilanciamento!H34+Bilanciamento!H30</f>
        <v>45.454215051861254</v>
      </c>
      <c r="H34" s="29">
        <f>[12]RIG!$G$238+[12]RIG!$G$244+[12]RIG!$G$250</f>
        <v>32.313000000000002</v>
      </c>
      <c r="I34" s="11"/>
      <c r="J34" s="53"/>
      <c r="K34" s="11"/>
      <c r="Q34" s="43"/>
      <c r="R34" s="43"/>
    </row>
    <row r="35" spans="2:18">
      <c r="B35" s="99">
        <v>3</v>
      </c>
      <c r="C35" s="29">
        <f>C34</f>
        <v>188.02467603185985</v>
      </c>
      <c r="D35" s="29">
        <f>[12]RIG!$F$101+[12]RIG!$F$107+[12]RIG!$F$113+[12]RIG!$F$119+[12]RIG!$F$125+[12]RIG!$F$131+[12]RIG!$F$137+[12]RIG!$F$143</f>
        <v>176.16399999999999</v>
      </c>
      <c r="E35" s="43"/>
      <c r="F35" s="99">
        <v>3</v>
      </c>
      <c r="G35" s="29">
        <f>G34</f>
        <v>45.454215051861254</v>
      </c>
      <c r="H35" s="29">
        <f>[12]RIG!$G$239+[12]RIG!$G$245+[12]RIG!$G$251</f>
        <v>39.022999999999996</v>
      </c>
      <c r="I35" s="11"/>
      <c r="J35" s="53"/>
      <c r="K35" s="11"/>
      <c r="Q35" s="43"/>
      <c r="R35" s="43"/>
    </row>
    <row r="36" spans="2:18">
      <c r="B36" s="99">
        <v>2</v>
      </c>
      <c r="C36" s="29">
        <f>C35</f>
        <v>188.02467603185985</v>
      </c>
      <c r="D36" s="29">
        <f>[12]RIG!$F$102+[12]RIG!$F$108+[12]RIG!$F$114+[12]RIG!$F$120+[12]RIG!$F$126+[12]RIG!$F$132+[12]RIG!$F$138+[12]RIG!$F$144</f>
        <v>179.124</v>
      </c>
      <c r="E36" s="43"/>
      <c r="F36" s="99">
        <v>2</v>
      </c>
      <c r="G36" s="29">
        <f>G35</f>
        <v>45.454215051861254</v>
      </c>
      <c r="H36" s="29">
        <f>[12]RIG!$G$240+[12]RIG!$G$246+[12]RIG!$G$252</f>
        <v>46.269999999999996</v>
      </c>
      <c r="I36" s="11"/>
      <c r="J36" s="53"/>
      <c r="K36" s="11"/>
      <c r="Q36" s="43"/>
      <c r="R36" s="43"/>
    </row>
    <row r="37" spans="2:18">
      <c r="B37" s="99">
        <v>1</v>
      </c>
      <c r="C37" s="55">
        <f>Bilanciamento!D56+Bilanciamento!F56+Bilanciamento!H56+Bilanciamento!J56+Bilanciamento!M56+Bilanciamento!O56+Bilanciamento!Q56+Bilanciamento!S56</f>
        <v>196.23808248335311</v>
      </c>
      <c r="D37" s="55">
        <f>[12]RIG!$F$103+[12]RIG!$F$109+[12]RIG!$F$115+[12]RIG!$F$121+[12]RIG!$F$127+[12]RIG!$F$133+[12]RIG!$F$139+[12]RIG!$F$145</f>
        <v>186.9</v>
      </c>
      <c r="E37" s="43"/>
      <c r="F37" s="99">
        <v>1</v>
      </c>
      <c r="G37" s="212">
        <f>Bilanciamento!H85+Bilanciamento!H81+Bilanciamento!H77</f>
        <v>67.995808243848515</v>
      </c>
      <c r="H37" s="212">
        <f>[12]RIG!$G$241+[12]RIG!$G$247+[12]RIG!$G$253</f>
        <v>65.203000000000003</v>
      </c>
      <c r="I37" s="11"/>
      <c r="J37" s="53"/>
      <c r="K37" s="11"/>
      <c r="Q37" s="43"/>
      <c r="R37" s="43"/>
    </row>
    <row r="38" spans="2:18">
      <c r="E38" s="43"/>
      <c r="I38" s="12"/>
      <c r="J38" s="12"/>
      <c r="K38" s="12"/>
      <c r="Q38" s="43"/>
      <c r="R38" s="43"/>
    </row>
    <row r="39" spans="2:18">
      <c r="E39" s="43"/>
      <c r="I39" s="12"/>
      <c r="J39" s="12"/>
      <c r="K39" s="12"/>
      <c r="Q39" s="43"/>
      <c r="R39" s="43"/>
    </row>
    <row r="40" spans="2:18">
      <c r="E40" s="43"/>
      <c r="I40" s="12"/>
      <c r="J40" s="12"/>
      <c r="K40" s="12"/>
      <c r="Q40" s="43"/>
      <c r="R40" s="43"/>
    </row>
    <row r="41" spans="2:18">
      <c r="B41" s="13" t="s">
        <v>230</v>
      </c>
      <c r="C41" s="164" t="s">
        <v>225</v>
      </c>
      <c r="D41" s="164" t="s">
        <v>228</v>
      </c>
      <c r="E41" s="198"/>
      <c r="F41" s="13" t="s">
        <v>240</v>
      </c>
      <c r="G41" s="164" t="s">
        <v>225</v>
      </c>
      <c r="H41" s="201" t="s">
        <v>228</v>
      </c>
      <c r="I41" s="11"/>
      <c r="J41" s="11"/>
      <c r="K41" s="11"/>
      <c r="Q41" s="492"/>
      <c r="R41" s="492"/>
    </row>
    <row r="42" spans="2:18">
      <c r="B42" s="99">
        <v>6</v>
      </c>
      <c r="C42" s="7">
        <f>Bilanciamento!D145+Bilanciamento!F145+Bilanciamento!I145+Bilanciamento!N145+Bilanciamento!Q145+Bilanciamento!S145</f>
        <v>76.619313376425453</v>
      </c>
      <c r="D42" s="7">
        <f>[12]RIG!$F$146+[12]RIG!$F$152+[12]RIG!$F$158+[12]RIG!$F$164+[12]RIG!$F$170+[12]RIG!$F$176+[12]RIG!$F$182</f>
        <v>71.701999999999998</v>
      </c>
      <c r="E42" s="81"/>
      <c r="F42" s="99">
        <v>6</v>
      </c>
      <c r="G42" s="22">
        <f>Bilanciamento!J178+Bilanciamento!J174+Bilanciamento!J170</f>
        <v>42.993408335714108</v>
      </c>
      <c r="H42" s="7">
        <f>[12]RIG!$G$254+[12]RIG!$G$260+[12]RIG!$G$266</f>
        <v>32.614000000000004</v>
      </c>
      <c r="I42" s="11"/>
      <c r="J42" s="53"/>
      <c r="K42" s="11"/>
      <c r="Q42" s="81"/>
      <c r="R42" s="81"/>
    </row>
    <row r="43" spans="2:18">
      <c r="B43" s="99">
        <v>5</v>
      </c>
      <c r="C43" s="29">
        <f>Bilanciamento!D98+Bilanciamento!F98+Bilanciamento!I98+Bilanciamento!N98+Bilanciamento!Q98+Bilanciamento!S98</f>
        <v>94.409862135938695</v>
      </c>
      <c r="D43" s="29">
        <f>[12]RIG!$F$147+[12]RIG!$F$153+[12]RIG!$F$159+[12]RIG!$F$165+[12]RIG!$F$171+[12]RIG!$F$177+[12]RIG!$F$183</f>
        <v>100.024</v>
      </c>
      <c r="E43" s="43"/>
      <c r="F43" s="99">
        <v>5</v>
      </c>
      <c r="G43" s="23">
        <f>Bilanciamento!J131+Bilanciamento!J127+Bilanciamento!J123</f>
        <v>51.107332115850042</v>
      </c>
      <c r="H43" s="29">
        <f>[12]RIG!$G$255+[12]RIG!$G$261+[12]RIG!$G$267</f>
        <v>44.512999999999998</v>
      </c>
      <c r="I43" s="11"/>
      <c r="J43" s="53"/>
      <c r="K43" s="11"/>
      <c r="Q43" s="43"/>
      <c r="R43" s="43"/>
    </row>
    <row r="44" spans="2:18">
      <c r="B44" s="99">
        <v>4</v>
      </c>
      <c r="C44" s="29">
        <f>Bilanciamento!D5+Bilanciamento!F5+Bilanciamento!I5+Bilanciamento!N5+Bilanciamento!Q5+Bilanciamento!S5</f>
        <v>114.55766741951915</v>
      </c>
      <c r="D44" s="29">
        <f>[12]RIG!$F$148+[12]RIG!$F$154+[12]RIG!$F$160+[12]RIG!$F$166+[12]RIG!$F$172+[12]RIG!$F$178+[12]RIG!$F$184</f>
        <v>113.619</v>
      </c>
      <c r="E44" s="43"/>
      <c r="F44" s="99">
        <v>4</v>
      </c>
      <c r="G44" s="23">
        <f>Bilanciamento!J38+Bilanciamento!J34+Bilanciamento!J30</f>
        <v>61.668852544447546</v>
      </c>
      <c r="H44" s="29">
        <f>[12]RIG!$G$256+[12]RIG!$G$262+[12]RIG!$G$268</f>
        <v>53.678000000000004</v>
      </c>
      <c r="I44" s="11"/>
      <c r="J44" s="53"/>
      <c r="K44" s="11"/>
      <c r="Q44" s="43"/>
      <c r="R44" s="43"/>
    </row>
    <row r="45" spans="2:18">
      <c r="B45" s="99">
        <v>3</v>
      </c>
      <c r="C45" s="29">
        <f>C44</f>
        <v>114.55766741951915</v>
      </c>
      <c r="D45" s="29">
        <f>[12]RIG!$F$149+[12]RIG!$F$155+[12]RIG!$F$161+[12]RIG!$F$167+[12]RIG!$F$173+[12]RIG!$F$179+[12]RIG!$F$185</f>
        <v>117.95</v>
      </c>
      <c r="E45" s="43"/>
      <c r="F45" s="99">
        <v>3</v>
      </c>
      <c r="G45" s="23">
        <f>G44</f>
        <v>61.668852544447546</v>
      </c>
      <c r="H45" s="29">
        <f>[12]RIG!$G$257+[12]RIG!$G$263+[12]RIG!$G$269</f>
        <v>56.434999999999995</v>
      </c>
      <c r="I45" s="11"/>
      <c r="J45" s="53"/>
      <c r="K45" s="11"/>
      <c r="Q45" s="43"/>
      <c r="R45" s="43"/>
    </row>
    <row r="46" spans="2:18">
      <c r="B46" s="99">
        <v>2</v>
      </c>
      <c r="C46" s="29">
        <f>C45</f>
        <v>114.55766741951915</v>
      </c>
      <c r="D46" s="29">
        <f>[12]RIG!$F$150+[12]RIG!$F$156+[12]RIG!$F$162+[12]RIG!$F$168+[12]RIG!$F$174+[12]RIG!$F$180+[12]RIG!$F$186</f>
        <v>119.18700000000001</v>
      </c>
      <c r="E46" s="43"/>
      <c r="F46" s="99">
        <v>2</v>
      </c>
      <c r="G46" s="23">
        <f>G45</f>
        <v>61.668852544447546</v>
      </c>
      <c r="H46" s="29">
        <f>[12]RIG!$G$258+[12]RIG!$G$264+[12]RIG!$G$270</f>
        <v>60.533999999999999</v>
      </c>
      <c r="I46" s="11"/>
      <c r="J46" s="53"/>
      <c r="K46" s="11"/>
      <c r="Q46" s="43"/>
      <c r="R46" s="43"/>
    </row>
    <row r="47" spans="2:18">
      <c r="B47" s="99">
        <v>1</v>
      </c>
      <c r="C47" s="55">
        <f>Bilanciamento!D52+Bilanciamento!F52+Bilanciamento!I52+Bilanciamento!N52+Bilanciamento!Q52+Bilanciamento!S52</f>
        <v>148.78667439823187</v>
      </c>
      <c r="D47" s="55">
        <f>[12]RIG!$F$151+[12]RIG!$F$157+[12]RIG!$F$163+[12]RIG!$F$169+[12]RIG!$F$175+[12]RIG!$F$181+[12]RIG!$F$187</f>
        <v>153.32400000000001</v>
      </c>
      <c r="E47" s="43"/>
      <c r="F47" s="99">
        <v>1</v>
      </c>
      <c r="G47" s="173">
        <f>Bilanciamento!J85+Bilanciamento!J81+Bilanciamento!J77</f>
        <v>76.806364992888419</v>
      </c>
      <c r="H47" s="55">
        <f>[12]RIG!$G$259+[12]RIG!$G$265+[12]RIG!$G$271</f>
        <v>70.781999999999996</v>
      </c>
      <c r="I47" s="11"/>
      <c r="J47" s="53"/>
      <c r="K47" s="11"/>
      <c r="Q47" s="43"/>
      <c r="R47" s="43"/>
    </row>
    <row r="48" spans="2:18">
      <c r="E48" s="43"/>
      <c r="F48" s="43"/>
      <c r="Q48" s="43"/>
      <c r="R48" s="43"/>
    </row>
  </sheetData>
  <mergeCells count="4">
    <mergeCell ref="Q11:R11"/>
    <mergeCell ref="Q21:R21"/>
    <mergeCell ref="Q31:R31"/>
    <mergeCell ref="Q41:R41"/>
  </mergeCells>
  <pageMargins left="0.7" right="0.7" top="0.75" bottom="0.75" header="0.3" footer="0.3"/>
  <pageSetup paperSize="9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B2:M24"/>
  <sheetViews>
    <sheetView workbookViewId="0">
      <selection activeCell="I10" sqref="I10"/>
    </sheetView>
  </sheetViews>
  <sheetFormatPr defaultRowHeight="15"/>
  <cols>
    <col min="2" max="2" width="12" customWidth="1"/>
    <col min="3" max="3" width="14.42578125" customWidth="1"/>
    <col min="4" max="4" width="13.28515625" customWidth="1"/>
    <col min="5" max="5" width="15.42578125" customWidth="1"/>
    <col min="6" max="6" width="14.85546875" customWidth="1"/>
    <col min="7" max="7" width="16.7109375" customWidth="1"/>
    <col min="8" max="8" width="15.28515625" customWidth="1"/>
    <col min="9" max="9" width="15" customWidth="1"/>
    <col min="10" max="10" width="14.5703125" customWidth="1"/>
    <col min="11" max="11" width="14.42578125" customWidth="1"/>
    <col min="12" max="12" width="13.85546875" customWidth="1"/>
    <col min="13" max="13" width="14.7109375" customWidth="1"/>
    <col min="14" max="14" width="13.42578125" customWidth="1"/>
    <col min="15" max="15" width="12" customWidth="1"/>
  </cols>
  <sheetData>
    <row r="2" spans="2:13" ht="21">
      <c r="B2" s="205" t="s">
        <v>232</v>
      </c>
    </row>
    <row r="3" spans="2:13" ht="18">
      <c r="B3" s="101" t="s">
        <v>75</v>
      </c>
      <c r="C3" s="202" t="s">
        <v>97</v>
      </c>
      <c r="D3" s="203" t="s">
        <v>97</v>
      </c>
      <c r="E3" s="101" t="s">
        <v>97</v>
      </c>
      <c r="F3" s="101" t="s">
        <v>100</v>
      </c>
      <c r="G3" s="190" t="s">
        <v>100</v>
      </c>
      <c r="H3" s="190" t="s">
        <v>100</v>
      </c>
      <c r="I3" s="101" t="s">
        <v>101</v>
      </c>
      <c r="J3" s="101" t="s">
        <v>101</v>
      </c>
      <c r="K3" s="101" t="s">
        <v>101</v>
      </c>
    </row>
    <row r="4" spans="2:13">
      <c r="B4" s="104"/>
      <c r="C4" s="196" t="s">
        <v>225</v>
      </c>
      <c r="D4" s="204" t="s">
        <v>386</v>
      </c>
      <c r="E4" s="349" t="s">
        <v>387</v>
      </c>
      <c r="F4" s="197" t="s">
        <v>225</v>
      </c>
      <c r="G4" s="348" t="s">
        <v>386</v>
      </c>
      <c r="H4" s="348" t="s">
        <v>387</v>
      </c>
      <c r="I4" s="197" t="s">
        <v>225</v>
      </c>
      <c r="J4" s="358" t="s">
        <v>386</v>
      </c>
      <c r="K4" s="349" t="s">
        <v>387</v>
      </c>
    </row>
    <row r="5" spans="2:13">
      <c r="B5" s="103" t="s">
        <v>143</v>
      </c>
      <c r="C5" s="7">
        <f>'C. Sollecitazione'!D13</f>
        <v>28.500738318250392</v>
      </c>
      <c r="D5" s="7">
        <f>[12]TabPil!$F$727</f>
        <v>29.992000000000001</v>
      </c>
      <c r="E5" s="7">
        <f>[15]TabPil!$E$725</f>
        <v>27.629000000000001</v>
      </c>
      <c r="F5" s="206">
        <f>'C. Sollecitazione'!F13</f>
        <v>36.480945047360507</v>
      </c>
      <c r="G5" s="206">
        <f>[12]TabPil!$F$725</f>
        <v>64.332999999999998</v>
      </c>
      <c r="H5" s="206">
        <f>[15]TabPil!$E$723</f>
        <v>58.512999999999998</v>
      </c>
      <c r="I5" s="7">
        <f>'C. Sollecitazione'!G13</f>
        <v>18.240472523680253</v>
      </c>
      <c r="J5" s="7">
        <f>MAX([12]TRA!$Q$3:$Q$4)</f>
        <v>36.197000000000003</v>
      </c>
      <c r="K5" s="7">
        <f>MAX([15]TRA!$R$2:$R$3)</f>
        <v>33.058</v>
      </c>
    </row>
    <row r="6" spans="2:13">
      <c r="B6" s="99">
        <v>5</v>
      </c>
      <c r="C6" s="29">
        <f>'C. Sollecitazione'!D14</f>
        <v>56.406270827777554</v>
      </c>
      <c r="D6" s="29">
        <f>[12]TabPil!$F$731</f>
        <v>55.451000000000001</v>
      </c>
      <c r="E6" s="29">
        <f>[15]TabPil!$E$729</f>
        <v>50.552</v>
      </c>
      <c r="F6" s="29">
        <f>'C. Sollecitazione'!F14</f>
        <v>90.25003332444409</v>
      </c>
      <c r="G6" s="29">
        <f>[12]TabPil!$F$729</f>
        <v>91.323999999999998</v>
      </c>
      <c r="H6" s="29">
        <f>[15]TabPil!$E$727</f>
        <v>83.203000000000003</v>
      </c>
      <c r="I6" s="29">
        <f>'C. Sollecitazione'!G14</f>
        <v>63.365489185902298</v>
      </c>
      <c r="J6" s="29">
        <f>MAX([12]TRA!$Q$7:$Q$8)</f>
        <v>62.237000000000002</v>
      </c>
      <c r="K6" s="29">
        <f>MAX([15]TRA!$R$6:$R$7)</f>
        <v>57.384</v>
      </c>
    </row>
    <row r="7" spans="2:13">
      <c r="B7" s="99">
        <v>4</v>
      </c>
      <c r="C7" s="29">
        <f>'C. Sollecitazione'!D15</f>
        <v>80.22990054271466</v>
      </c>
      <c r="D7" s="29">
        <f>[12]TabPil!$F$735</f>
        <v>77.555999999999997</v>
      </c>
      <c r="E7" s="29">
        <f>[15]TabPil!$E$733</f>
        <v>71.989999999999995</v>
      </c>
      <c r="F7" s="29">
        <f>'C. Sollecitazione'!F15</f>
        <v>128.36784086834345</v>
      </c>
      <c r="G7" s="29">
        <f>[12]TabPil!$F$733</f>
        <v>132.87</v>
      </c>
      <c r="H7" s="29">
        <f>[15]TabPil!$E$731</f>
        <v>122.503</v>
      </c>
      <c r="I7" s="29">
        <f>'C. Sollecitazione'!G15</f>
        <v>109.30893709639378</v>
      </c>
      <c r="J7" s="29">
        <f>MAX([12]TRA!$Q$11:$Q$12)</f>
        <v>114.428</v>
      </c>
      <c r="K7" s="29">
        <f>MAX([15]TRA!$R$10:$R$11)</f>
        <v>108.40300000000001</v>
      </c>
    </row>
    <row r="8" spans="2:13">
      <c r="B8" s="99">
        <v>3</v>
      </c>
      <c r="C8" s="29">
        <f>'C. Sollecitazione'!D16</f>
        <v>97.708190400443442</v>
      </c>
      <c r="D8" s="29">
        <f>[12]TabPil!$F$739</f>
        <v>92.32</v>
      </c>
      <c r="E8" s="29">
        <f>[15]TabPil!$E$737</f>
        <v>89.569000000000003</v>
      </c>
      <c r="F8" s="29">
        <f>'C. Sollecitazione'!F16</f>
        <v>156.33310464070951</v>
      </c>
      <c r="G8" s="29">
        <f>[12]TabPil!$F$737</f>
        <v>154.05099999999999</v>
      </c>
      <c r="H8" s="29">
        <f>[15]TabPil!$E$735</f>
        <v>148.99</v>
      </c>
      <c r="I8" s="29">
        <f>'C. Sollecitazione'!G16</f>
        <v>142.35047275452649</v>
      </c>
      <c r="J8" s="29">
        <f>MAX([12]TRA!$Q$15:$Q$16)</f>
        <v>141.047</v>
      </c>
      <c r="K8" s="29">
        <f>MAX([15]TRA!$R$14:$R$15)</f>
        <v>138.41</v>
      </c>
    </row>
    <row r="9" spans="2:13">
      <c r="B9" s="99">
        <v>2</v>
      </c>
      <c r="C9" s="29">
        <f>'C. Sollecitazione'!D17</f>
        <v>109.64880426364428</v>
      </c>
      <c r="D9" s="29">
        <f>[12]TabPil!$F$743</f>
        <v>103.828</v>
      </c>
      <c r="E9" s="29">
        <f>[15]TabPil!$E$741</f>
        <v>103.937</v>
      </c>
      <c r="F9" s="29">
        <f>'C. Sollecitazione'!F17</f>
        <v>175.43808682183086</v>
      </c>
      <c r="G9" s="29">
        <f>[12]TabPil!$F$741</f>
        <v>167.52600000000001</v>
      </c>
      <c r="H9" s="29">
        <f>[15]TabPil!$E$739</f>
        <v>167.99299999999999</v>
      </c>
      <c r="I9" s="29">
        <f>'C. Sollecitazione'!G17</f>
        <v>165.8855957312702</v>
      </c>
      <c r="J9" s="29">
        <f>MAX([12]TRA!$Q$19:$Q$20)</f>
        <v>165.72900000000001</v>
      </c>
      <c r="K9" s="29">
        <f>MAX([15]TRA!$R$18:$R$19)</f>
        <v>164.107</v>
      </c>
    </row>
    <row r="10" spans="2:13">
      <c r="B10" s="102" t="s">
        <v>144</v>
      </c>
      <c r="C10" s="29">
        <f>'C. Sollecitazione'!D18</f>
        <v>115.45539763305764</v>
      </c>
      <c r="D10" s="29">
        <f>[12]TabPil!$F$747</f>
        <v>113.346</v>
      </c>
      <c r="E10" s="29">
        <f>[15]TabPil!$E$745</f>
        <v>112.285</v>
      </c>
      <c r="F10" s="29">
        <f>'C. Sollecitazione'!F18</f>
        <v>170.87398849692534</v>
      </c>
      <c r="G10" s="29">
        <f>[12]TabPil!$F$745</f>
        <v>164.268</v>
      </c>
      <c r="H10" s="29">
        <f>[15]TabPil!$E$743</f>
        <v>162.90799999999999</v>
      </c>
      <c r="I10" s="29">
        <f>'C. Sollecitazione'!G18</f>
        <v>173.15603765937811</v>
      </c>
      <c r="J10" s="29">
        <f>MAX([12]TRA!$Q$23:$Q$24)</f>
        <v>180.59200000000001</v>
      </c>
      <c r="K10" s="29">
        <f>MAX([15]TRA!$R$22:$R$23)</f>
        <v>179.21</v>
      </c>
    </row>
    <row r="11" spans="2:13">
      <c r="B11" s="99" t="s">
        <v>99</v>
      </c>
      <c r="C11" s="55" t="str">
        <f>'C. Sollecitazione'!D19</f>
        <v>-</v>
      </c>
      <c r="D11" s="2" t="s">
        <v>27</v>
      </c>
      <c r="E11" s="2" t="s">
        <v>27</v>
      </c>
      <c r="F11" s="55">
        <f>'C. Sollecitazione'!F19</f>
        <v>256.310982745388</v>
      </c>
      <c r="G11" s="55">
        <f>[12]TabPil!$F$746</f>
        <v>255.61699999999999</v>
      </c>
      <c r="H11" s="55">
        <f>[15]TabPil!$E$744</f>
        <v>252.601</v>
      </c>
      <c r="I11" s="55" t="str">
        <f>'C. Sollecitazione'!G19</f>
        <v>-</v>
      </c>
      <c r="J11" s="2" t="s">
        <v>27</v>
      </c>
      <c r="K11" s="2" t="s">
        <v>27</v>
      </c>
    </row>
    <row r="15" spans="2:13" ht="21">
      <c r="B15" s="205" t="s">
        <v>233</v>
      </c>
    </row>
    <row r="16" spans="2:13" ht="18">
      <c r="B16" s="101" t="s">
        <v>75</v>
      </c>
      <c r="C16" s="202" t="s">
        <v>97</v>
      </c>
      <c r="D16" s="190" t="s">
        <v>97</v>
      </c>
      <c r="E16" s="101" t="s">
        <v>97</v>
      </c>
      <c r="F16" s="101" t="s">
        <v>100</v>
      </c>
      <c r="G16" s="190" t="s">
        <v>100</v>
      </c>
      <c r="H16" s="101" t="s">
        <v>100</v>
      </c>
      <c r="I16" s="101" t="s">
        <v>101</v>
      </c>
      <c r="J16" s="190" t="s">
        <v>101</v>
      </c>
      <c r="K16" s="101" t="s">
        <v>101</v>
      </c>
      <c r="M16" s="49"/>
    </row>
    <row r="17" spans="2:13">
      <c r="B17" s="104"/>
      <c r="C17" s="109" t="s">
        <v>225</v>
      </c>
      <c r="D17" s="372" t="s">
        <v>386</v>
      </c>
      <c r="E17" s="400" t="s">
        <v>387</v>
      </c>
      <c r="F17" s="197" t="s">
        <v>225</v>
      </c>
      <c r="G17" s="348" t="s">
        <v>386</v>
      </c>
      <c r="H17" s="400" t="s">
        <v>395</v>
      </c>
      <c r="I17" s="197" t="s">
        <v>225</v>
      </c>
      <c r="J17" s="372" t="s">
        <v>386</v>
      </c>
      <c r="K17" s="399" t="s">
        <v>387</v>
      </c>
      <c r="M17" s="49"/>
    </row>
    <row r="18" spans="2:13">
      <c r="B18" s="119" t="s">
        <v>143</v>
      </c>
      <c r="C18" s="7">
        <f>'C. Sollecitazione'!O13</f>
        <v>28.071839191999604</v>
      </c>
      <c r="D18" s="22">
        <f>[12]TabPil!$P$727</f>
        <v>35.484000000000002</v>
      </c>
      <c r="E18" s="7">
        <f>[15]TabPil!$P$725</f>
        <v>37.031999999999996</v>
      </c>
      <c r="F18" s="206">
        <f>'C. Sollecitazione'!Q13</f>
        <v>35.9319541657595</v>
      </c>
      <c r="G18" s="280">
        <f>[12]TabPil!$P$725</f>
        <v>75.162000000000006</v>
      </c>
      <c r="H18" s="206">
        <f>[15]TabPil!$P$723</f>
        <v>76.061000000000007</v>
      </c>
      <c r="I18" s="7">
        <f>'C. Sollecitazione'!R13</f>
        <v>17.96597708287975</v>
      </c>
      <c r="J18" s="22">
        <f>MAX([12]TRA!$Q$29:$Q$30)</f>
        <v>47.639000000000003</v>
      </c>
      <c r="K18" s="7">
        <f>MAX([15]TRA!$R$26:$R$27)</f>
        <v>47.128999999999998</v>
      </c>
      <c r="M18" s="53"/>
    </row>
    <row r="19" spans="2:13">
      <c r="B19" s="120">
        <v>5</v>
      </c>
      <c r="C19" s="29">
        <f>'C. Sollecitazione'!O14</f>
        <v>60.491818161704273</v>
      </c>
      <c r="D19" s="23">
        <f>[12]TabPil!$P$731</f>
        <v>62.082000000000001</v>
      </c>
      <c r="E19" s="29">
        <f>[15]TabPil!$P$729</f>
        <v>60.762999999999998</v>
      </c>
      <c r="F19" s="29">
        <f>'C. Sollecitazione'!Q14</f>
        <v>96.786909058726849</v>
      </c>
      <c r="G19" s="23">
        <f>[12]TabPil!$P$729</f>
        <v>100.589</v>
      </c>
      <c r="H19" s="29">
        <f>[15]TabPil!$P$727</f>
        <v>97.21</v>
      </c>
      <c r="I19" s="29">
        <f>'C. Sollecitazione'!R14</f>
        <v>66.359431612243171</v>
      </c>
      <c r="J19" s="23">
        <f>MAX([12]TRA!$Q$33:$Q$34)</f>
        <v>73.646000000000001</v>
      </c>
      <c r="K19" s="29">
        <f>MAX([15]TRA!$R$30:$R$31)</f>
        <v>71.576999999999998</v>
      </c>
      <c r="M19" s="53"/>
    </row>
    <row r="20" spans="2:13">
      <c r="B20" s="120">
        <v>4</v>
      </c>
      <c r="C20" s="29">
        <f>'C. Sollecitazione'!O15</f>
        <v>84.969931948930451</v>
      </c>
      <c r="D20" s="23">
        <f>[12]TabPil!$P$735</f>
        <v>88.953999999999994</v>
      </c>
      <c r="E20" s="29">
        <f>[15]TabPil!$P$733</f>
        <v>84.450999999999993</v>
      </c>
      <c r="F20" s="29">
        <f>'C. Sollecitazione'!Q15</f>
        <v>135.95189111828873</v>
      </c>
      <c r="G20" s="23">
        <f>[12]TabPil!$P$733</f>
        <v>150.79300000000001</v>
      </c>
      <c r="H20" s="29">
        <f>[15]TabPil!$P$731</f>
        <v>142.65</v>
      </c>
      <c r="I20" s="29">
        <f>'C. Sollecitazione'!R15</f>
        <v>116.36940008850779</v>
      </c>
      <c r="J20" s="23">
        <f>MAX([12]TRA!$Q$37:$Q$38)</f>
        <v>139.01599999999999</v>
      </c>
      <c r="K20" s="29">
        <f>MAX([15]TRA!$R$34:$R$35)</f>
        <v>131.95699999999999</v>
      </c>
      <c r="M20" s="53"/>
    </row>
    <row r="21" spans="2:13">
      <c r="B21" s="120">
        <v>3</v>
      </c>
      <c r="C21" s="29">
        <f>'C. Sollecitazione'!O16</f>
        <v>103.48084982055623</v>
      </c>
      <c r="D21" s="23">
        <f>[12]TabPil!$P$739</f>
        <v>104.935</v>
      </c>
      <c r="E21" s="29">
        <f>[15]TabPil!$P$737</f>
        <v>99.084999999999994</v>
      </c>
      <c r="F21" s="29">
        <f>'C. Sollecitazione'!Q16</f>
        <v>165.56935971288999</v>
      </c>
      <c r="G21" s="23">
        <f>[12]TabPil!$P$737</f>
        <v>172.452</v>
      </c>
      <c r="H21" s="29">
        <f>[15]TabPil!$P$735</f>
        <v>163.26599999999999</v>
      </c>
      <c r="I21" s="29">
        <f>'C. Sollecitazione'!R16</f>
        <v>150.76062541558935</v>
      </c>
      <c r="J21" s="23">
        <f>MAX([12]TRA!$Q$41:$Q$42)</f>
        <v>167.89099999999999</v>
      </c>
      <c r="K21" s="29">
        <f>MAX([15]TRA!$R$38:$R$39)</f>
        <v>158.46199999999999</v>
      </c>
      <c r="M21" s="53"/>
    </row>
    <row r="22" spans="2:13">
      <c r="B22" s="120">
        <v>2</v>
      </c>
      <c r="C22" s="29">
        <f>'C. Sollecitazione'!O17</f>
        <v>116.12692242592433</v>
      </c>
      <c r="D22" s="23">
        <f>[12]TabPil!$P$743</f>
        <v>118.178</v>
      </c>
      <c r="E22" s="29">
        <f>[15]TabPil!$P$741</f>
        <v>112.45699999999999</v>
      </c>
      <c r="F22" s="29">
        <f>'C. Sollecitazione'!Q17</f>
        <v>185.80307588147895</v>
      </c>
      <c r="G22" s="23">
        <f>[12]TabPil!$P$741</f>
        <v>183.57599999999999</v>
      </c>
      <c r="H22" s="29">
        <f>[15]TabPil!$P$739</f>
        <v>175.69200000000001</v>
      </c>
      <c r="I22" s="29">
        <f>'C. Sollecitazione'!R17</f>
        <v>175.68621779718447</v>
      </c>
      <c r="J22" s="23">
        <f>MAX([12]TRA!$Q$45:$Q$46)</f>
        <v>214.77099999999999</v>
      </c>
      <c r="K22" s="29">
        <f>MAX([15]TRA!$R$42:$R$43)</f>
        <v>203.84899999999999</v>
      </c>
      <c r="M22" s="53"/>
    </row>
    <row r="23" spans="2:13">
      <c r="B23" s="121" t="s">
        <v>144</v>
      </c>
      <c r="C23" s="29">
        <f>'C. Sollecitazione'!O18</f>
        <v>103.51566802609986</v>
      </c>
      <c r="D23" s="23">
        <f>[12]TabPil!$P$747</f>
        <v>105.04900000000001</v>
      </c>
      <c r="E23" s="29">
        <f>[15]TabPil!$P$745</f>
        <v>100.867</v>
      </c>
      <c r="F23" s="29">
        <f>'C. Sollecitazione'!Q18</f>
        <v>153.20318867862781</v>
      </c>
      <c r="G23" s="23">
        <f>[12]TabPil!$P$745</f>
        <v>139.72499999999999</v>
      </c>
      <c r="H23" s="29">
        <f>[15]TabPil!$P$743</f>
        <v>135.16999999999999</v>
      </c>
      <c r="I23" s="29">
        <f>'C. Sollecitazione'!R18</f>
        <v>169.50313228005336</v>
      </c>
      <c r="J23" s="23">
        <f>MAX([12]TRA!$Q$49:$Q$50)</f>
        <v>235.21899999999999</v>
      </c>
      <c r="K23" s="29">
        <f>MAX([15]TRA!$R$46:$R$47)</f>
        <v>225.35599999999999</v>
      </c>
      <c r="M23" s="53"/>
    </row>
    <row r="24" spans="2:13">
      <c r="B24" s="120" t="s">
        <v>99</v>
      </c>
      <c r="C24" s="55" t="str">
        <f>'C. Sollecitazione'!O19</f>
        <v>-</v>
      </c>
      <c r="D24" s="60" t="s">
        <v>27</v>
      </c>
      <c r="E24" s="2" t="s">
        <v>27</v>
      </c>
      <c r="F24" s="55">
        <f>'C. Sollecitazione'!Q19</f>
        <v>229.8047830179417</v>
      </c>
      <c r="G24" s="173">
        <f>[12]TabPil!$P$746</f>
        <v>248.95699999999999</v>
      </c>
      <c r="H24" s="55">
        <f>[15]TabPil!$P$744</f>
        <v>238.17699999999999</v>
      </c>
      <c r="I24" s="55" t="str">
        <f>'C. Sollecitazione'!R19</f>
        <v>-</v>
      </c>
      <c r="J24" s="173" t="s">
        <v>27</v>
      </c>
      <c r="K24" s="55" t="s">
        <v>27</v>
      </c>
      <c r="M24" s="53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B2:G13"/>
  <sheetViews>
    <sheetView workbookViewId="0">
      <selection activeCell="D15" sqref="D15"/>
    </sheetView>
  </sheetViews>
  <sheetFormatPr defaultRowHeight="15"/>
  <cols>
    <col min="2" max="2" width="12.7109375" customWidth="1"/>
    <col min="3" max="3" width="15" customWidth="1"/>
    <col min="4" max="4" width="15.28515625" customWidth="1"/>
    <col min="5" max="5" width="15" customWidth="1"/>
    <col min="6" max="6" width="14.42578125" customWidth="1"/>
  </cols>
  <sheetData>
    <row r="2" spans="2:7">
      <c r="B2" s="200" t="s">
        <v>378</v>
      </c>
      <c r="C2" s="22">
        <v>29.2</v>
      </c>
      <c r="D2" s="355" t="s">
        <v>170</v>
      </c>
      <c r="E2" s="200" t="s">
        <v>379</v>
      </c>
      <c r="F2" s="346">
        <f>0.05*C2</f>
        <v>1.46</v>
      </c>
      <c r="G2" s="356" t="s">
        <v>170</v>
      </c>
    </row>
    <row r="3" spans="2:7">
      <c r="B3" s="200" t="s">
        <v>380</v>
      </c>
      <c r="C3" s="173">
        <v>16.3</v>
      </c>
      <c r="D3" s="45" t="s">
        <v>170</v>
      </c>
      <c r="E3" s="200" t="s">
        <v>381</v>
      </c>
      <c r="F3" s="173">
        <f>0.05*C3</f>
        <v>0.81500000000000006</v>
      </c>
      <c r="G3" s="357" t="s">
        <v>170</v>
      </c>
    </row>
    <row r="6" spans="2:7">
      <c r="B6" s="98" t="s">
        <v>75</v>
      </c>
      <c r="C6" s="98" t="s">
        <v>382</v>
      </c>
      <c r="D6" s="98" t="s">
        <v>383</v>
      </c>
      <c r="E6" s="98" t="s">
        <v>385</v>
      </c>
      <c r="F6" s="98" t="s">
        <v>384</v>
      </c>
    </row>
    <row r="7" spans="2:7">
      <c r="B7" s="354" t="s">
        <v>143</v>
      </c>
      <c r="C7" s="29">
        <f>'Masse e Forze'!F15</f>
        <v>478.57618646294549</v>
      </c>
      <c r="D7" s="29">
        <f>'Masse e Forze'!F26</f>
        <v>415.14285991077031</v>
      </c>
      <c r="E7" s="29">
        <f t="shared" ref="E7:E12" si="0">C7*$F$3</f>
        <v>390.03959196730062</v>
      </c>
      <c r="F7" s="29">
        <f t="shared" ref="F7:F12" si="1">D7*$F$2</f>
        <v>606.10857546972466</v>
      </c>
    </row>
    <row r="8" spans="2:7">
      <c r="B8" s="354">
        <v>5</v>
      </c>
      <c r="C8" s="29">
        <f>'Masse e Forze'!F16</f>
        <v>453.61831354186944</v>
      </c>
      <c r="D8" s="29">
        <f>'Masse e Forze'!F27</f>
        <v>393.49305151072929</v>
      </c>
      <c r="E8" s="29">
        <f t="shared" si="0"/>
        <v>369.69892553662362</v>
      </c>
      <c r="F8" s="29">
        <f t="shared" si="1"/>
        <v>574.49985520566474</v>
      </c>
    </row>
    <row r="9" spans="2:7">
      <c r="B9" s="354">
        <v>4</v>
      </c>
      <c r="C9" s="29">
        <f>'Masse e Forze'!F17</f>
        <v>375.00229438599712</v>
      </c>
      <c r="D9" s="29">
        <f>'Masse e Forze'!F28</f>
        <v>325.29726586501852</v>
      </c>
      <c r="E9" s="29">
        <f t="shared" si="0"/>
        <v>305.62686992458765</v>
      </c>
      <c r="F9" s="29">
        <f t="shared" si="1"/>
        <v>474.934008162927</v>
      </c>
    </row>
    <row r="10" spans="2:7">
      <c r="B10" s="354">
        <v>3</v>
      </c>
      <c r="C10" s="29">
        <f>'Masse e Forze'!F18</f>
        <v>284.77617844350158</v>
      </c>
      <c r="D10" s="29">
        <f>'Masse e Forze'!F29</f>
        <v>247.03025452907423</v>
      </c>
      <c r="E10" s="29">
        <f t="shared" si="0"/>
        <v>232.09258543145381</v>
      </c>
      <c r="F10" s="29">
        <f t="shared" si="1"/>
        <v>360.66417161244834</v>
      </c>
    </row>
    <row r="11" spans="2:7">
      <c r="B11" s="354">
        <v>2</v>
      </c>
      <c r="C11" s="29">
        <f>'Masse e Forze'!F19</f>
        <v>194.55006250100601</v>
      </c>
      <c r="D11" s="29">
        <f>'Masse e Forze'!F30</f>
        <v>168.76324319312991</v>
      </c>
      <c r="E11" s="29">
        <f t="shared" si="0"/>
        <v>158.55830093831992</v>
      </c>
      <c r="F11" s="29">
        <f t="shared" si="1"/>
        <v>246.39433506196966</v>
      </c>
    </row>
    <row r="12" spans="2:7">
      <c r="B12" s="103">
        <v>1</v>
      </c>
      <c r="C12" s="55">
        <f>'Masse e Forze'!F20</f>
        <v>94.925574053822416</v>
      </c>
      <c r="D12" s="55">
        <f>'Masse e Forze'!F31</f>
        <v>82.343575393145173</v>
      </c>
      <c r="E12" s="55">
        <f t="shared" si="0"/>
        <v>77.364342853865281</v>
      </c>
      <c r="F12" s="55">
        <f t="shared" si="1"/>
        <v>120.22162007399194</v>
      </c>
    </row>
    <row r="13" spans="2:7">
      <c r="B13" s="11"/>
      <c r="C13" s="11"/>
      <c r="D13" s="11"/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Q32"/>
  <sheetViews>
    <sheetView tabSelected="1" zoomScale="110" zoomScaleNormal="110" workbookViewId="0">
      <selection activeCell="M10" sqref="M10"/>
    </sheetView>
  </sheetViews>
  <sheetFormatPr defaultRowHeight="15"/>
  <cols>
    <col min="1" max="1" width="9.140625" style="12"/>
    <col min="2" max="2" width="30.140625" style="12" customWidth="1"/>
    <col min="3" max="3" width="8.85546875" style="12" customWidth="1"/>
    <col min="4" max="6" width="9.140625" style="12"/>
    <col min="7" max="7" width="9.85546875" style="12" customWidth="1"/>
    <col min="8" max="16384" width="9.140625" style="12"/>
  </cols>
  <sheetData>
    <row r="2" spans="2:17" ht="15.75">
      <c r="G2" s="3"/>
      <c r="H2" s="4" t="s">
        <v>294</v>
      </c>
      <c r="I2" s="215"/>
      <c r="J2" s="4" t="s">
        <v>297</v>
      </c>
    </row>
    <row r="3" spans="2:17" ht="18.75">
      <c r="B3" s="208"/>
      <c r="C3" s="214"/>
      <c r="D3" s="3" t="s">
        <v>298</v>
      </c>
      <c r="E3" s="215" t="s">
        <v>300</v>
      </c>
      <c r="F3" s="277" t="s">
        <v>301</v>
      </c>
      <c r="G3" s="137" t="s">
        <v>295</v>
      </c>
      <c r="H3" s="273" t="s">
        <v>296</v>
      </c>
      <c r="I3" s="60" t="s">
        <v>298</v>
      </c>
      <c r="J3" s="283" t="s">
        <v>299</v>
      </c>
      <c r="K3" s="279" t="s">
        <v>265</v>
      </c>
      <c r="L3" s="282" t="s">
        <v>302</v>
      </c>
      <c r="M3" s="282" t="s">
        <v>267</v>
      </c>
      <c r="O3" s="211" t="s">
        <v>268</v>
      </c>
      <c r="P3" s="211" t="s">
        <v>269</v>
      </c>
      <c r="Q3" s="211" t="s">
        <v>266</v>
      </c>
    </row>
    <row r="4" spans="2:17" ht="17.25">
      <c r="B4" s="269" t="s">
        <v>244</v>
      </c>
      <c r="C4" s="274" t="s">
        <v>245</v>
      </c>
      <c r="D4" s="206">
        <f>'Carichi Unitari'!B49</f>
        <v>4.09</v>
      </c>
      <c r="E4" s="88">
        <f>'Carichi Unitari'!C49</f>
        <v>1.2</v>
      </c>
      <c r="F4" s="69">
        <f>'Carichi Unitari'!D49</f>
        <v>2</v>
      </c>
      <c r="G4" s="280">
        <f>D4*$O$4</f>
        <v>5.3170000000000002</v>
      </c>
      <c r="H4" s="206">
        <f>F4*$P$4+E4*P4</f>
        <v>4.8</v>
      </c>
      <c r="I4" s="280">
        <f>D4</f>
        <v>4.09</v>
      </c>
      <c r="J4" s="69">
        <f>E4+L4*F4</f>
        <v>1.7999999999999998</v>
      </c>
      <c r="K4" s="206">
        <f>G4+H4</f>
        <v>10.117000000000001</v>
      </c>
      <c r="L4" s="206">
        <v>0.3</v>
      </c>
      <c r="M4" s="206">
        <f>D4+E4+L4*F4</f>
        <v>5.89</v>
      </c>
      <c r="O4" s="11">
        <v>1.3</v>
      </c>
      <c r="P4" s="11">
        <v>1.5</v>
      </c>
      <c r="Q4" s="11">
        <v>1.5</v>
      </c>
    </row>
    <row r="5" spans="2:17">
      <c r="B5" s="213" t="s">
        <v>246</v>
      </c>
      <c r="C5" s="274"/>
      <c r="D5" s="56">
        <f>D4</f>
        <v>4.09</v>
      </c>
      <c r="F5" s="20">
        <f>'Carichi Unitari'!D49</f>
        <v>2</v>
      </c>
      <c r="G5" s="265">
        <f t="shared" ref="G5:G19" si="0">D5*$O$4</f>
        <v>5.3170000000000002</v>
      </c>
      <c r="H5" s="56">
        <f t="shared" ref="H5:H11" si="1">F5*$P$4</f>
        <v>3</v>
      </c>
      <c r="I5" s="265">
        <f t="shared" ref="I5:I19" si="2">D5</f>
        <v>4.09</v>
      </c>
      <c r="J5" s="20">
        <f t="shared" ref="J5:J11" si="3">E5+L5*F5</f>
        <v>0.6</v>
      </c>
      <c r="K5" s="56">
        <f>D5*1.3+F5*1.5</f>
        <v>8.3170000000000002</v>
      </c>
      <c r="L5" s="56">
        <v>0.3</v>
      </c>
      <c r="M5" s="20">
        <f>D5+L5*F5</f>
        <v>4.6899999999999995</v>
      </c>
    </row>
    <row r="6" spans="2:17" ht="17.25">
      <c r="B6" s="207" t="s">
        <v>247</v>
      </c>
      <c r="C6" s="275" t="s">
        <v>245</v>
      </c>
      <c r="D6" s="56"/>
      <c r="F6" s="278"/>
      <c r="G6" s="265"/>
      <c r="H6" s="56"/>
      <c r="I6" s="265"/>
      <c r="J6" s="20">
        <f t="shared" si="3"/>
        <v>0</v>
      </c>
      <c r="K6" s="278"/>
      <c r="L6" s="278"/>
      <c r="M6" s="278"/>
    </row>
    <row r="7" spans="2:17" ht="17.25">
      <c r="B7" s="208" t="s">
        <v>248</v>
      </c>
      <c r="C7" s="276" t="s">
        <v>245</v>
      </c>
      <c r="D7" s="56">
        <f>'Carichi Unitari'!B149</f>
        <v>4.21</v>
      </c>
      <c r="F7" s="20">
        <f>'Carichi Unitari'!D149</f>
        <v>2</v>
      </c>
      <c r="G7" s="265">
        <f t="shared" si="0"/>
        <v>5.4729999999999999</v>
      </c>
      <c r="H7" s="56">
        <f t="shared" si="1"/>
        <v>3</v>
      </c>
      <c r="I7" s="265">
        <f t="shared" si="2"/>
        <v>4.21</v>
      </c>
      <c r="J7" s="20">
        <f t="shared" si="3"/>
        <v>0.6</v>
      </c>
      <c r="K7" s="56">
        <f>D7*O4+F7*P4</f>
        <v>8.472999999999999</v>
      </c>
      <c r="L7" s="56">
        <v>0.3</v>
      </c>
      <c r="M7" s="56">
        <f>D7+L7*F7</f>
        <v>4.8099999999999996</v>
      </c>
    </row>
    <row r="8" spans="2:17" ht="17.25">
      <c r="B8" s="208" t="s">
        <v>249</v>
      </c>
      <c r="C8" s="276" t="s">
        <v>245</v>
      </c>
      <c r="D8" s="56">
        <f>'Carichi Unitari'!B126</f>
        <v>3.77</v>
      </c>
      <c r="F8" s="20">
        <f>'Carichi Unitari'!D126</f>
        <v>0.5</v>
      </c>
      <c r="G8" s="265">
        <f t="shared" si="0"/>
        <v>4.9009999999999998</v>
      </c>
      <c r="H8" s="56">
        <f t="shared" si="1"/>
        <v>0.75</v>
      </c>
      <c r="I8" s="265">
        <f t="shared" si="2"/>
        <v>3.77</v>
      </c>
      <c r="J8" s="20">
        <f t="shared" si="3"/>
        <v>0</v>
      </c>
      <c r="K8" s="56">
        <f>'Carichi Unitari'!H126</f>
        <v>5.6509999999999998</v>
      </c>
      <c r="L8" s="56">
        <v>0</v>
      </c>
      <c r="M8" s="56">
        <f>D8+F8*L8</f>
        <v>3.77</v>
      </c>
    </row>
    <row r="9" spans="2:17" ht="17.25">
      <c r="B9" s="208" t="s">
        <v>250</v>
      </c>
      <c r="C9" s="276" t="s">
        <v>245</v>
      </c>
      <c r="D9" s="20">
        <v>1.65</v>
      </c>
      <c r="F9" s="20">
        <v>0.5</v>
      </c>
      <c r="G9" s="265">
        <f t="shared" si="0"/>
        <v>2.145</v>
      </c>
      <c r="H9" s="56">
        <f t="shared" si="1"/>
        <v>0.75</v>
      </c>
      <c r="I9" s="265">
        <f t="shared" si="2"/>
        <v>1.65</v>
      </c>
      <c r="J9" s="20">
        <f t="shared" si="3"/>
        <v>0</v>
      </c>
      <c r="K9" s="56">
        <f>D9*O4+F9*P4</f>
        <v>2.895</v>
      </c>
      <c r="L9" s="20">
        <f>0</f>
        <v>0</v>
      </c>
      <c r="M9" s="20">
        <f>D9+0.3*F9</f>
        <v>1.7999999999999998</v>
      </c>
    </row>
    <row r="10" spans="2:17" ht="17.25">
      <c r="B10" s="208" t="s">
        <v>327</v>
      </c>
      <c r="C10" s="276" t="s">
        <v>245</v>
      </c>
      <c r="D10" s="20">
        <f>'Carichi Unitari'!B50</f>
        <v>4.21</v>
      </c>
      <c r="F10" s="20">
        <f>'Carichi Unitari'!D50</f>
        <v>4</v>
      </c>
      <c r="G10" s="265">
        <f t="shared" si="0"/>
        <v>5.4729999999999999</v>
      </c>
      <c r="H10" s="56">
        <f t="shared" si="1"/>
        <v>6</v>
      </c>
      <c r="I10" s="265">
        <f t="shared" si="2"/>
        <v>4.21</v>
      </c>
      <c r="J10" s="20">
        <f t="shared" si="3"/>
        <v>2.4</v>
      </c>
      <c r="K10" s="56">
        <f>D10*O4+F10*P4</f>
        <v>11.472999999999999</v>
      </c>
      <c r="L10" s="56">
        <v>0.6</v>
      </c>
      <c r="M10" s="20">
        <f>D10+L10*F10</f>
        <v>6.6099999999999994</v>
      </c>
    </row>
    <row r="11" spans="2:17" ht="17.25">
      <c r="B11" s="208" t="s">
        <v>251</v>
      </c>
      <c r="C11" s="276" t="s">
        <v>245</v>
      </c>
      <c r="D11" s="56">
        <f>'Carichi Unitari'!O170</f>
        <v>5.4144991992695193</v>
      </c>
      <c r="F11" s="20">
        <f>'Carichi Unitari'!D55</f>
        <v>4</v>
      </c>
      <c r="G11" s="265">
        <f t="shared" si="0"/>
        <v>7.0388489590503749</v>
      </c>
      <c r="H11" s="56">
        <f t="shared" si="1"/>
        <v>6</v>
      </c>
      <c r="I11" s="265">
        <f t="shared" si="2"/>
        <v>5.4144991992695193</v>
      </c>
      <c r="J11" s="20">
        <f t="shared" si="3"/>
        <v>2.4</v>
      </c>
      <c r="K11" s="56">
        <f>D11*O4+F11*P4</f>
        <v>13.038848959050375</v>
      </c>
      <c r="L11" s="20">
        <f>0.6</f>
        <v>0.6</v>
      </c>
      <c r="M11" s="56">
        <f>D11+L11*F11</f>
        <v>7.8144991992695196</v>
      </c>
    </row>
    <row r="12" spans="2:17" ht="17.25">
      <c r="B12" s="208" t="s">
        <v>254</v>
      </c>
      <c r="C12" s="276" t="s">
        <v>245</v>
      </c>
      <c r="D12" s="56">
        <f>'Carichi Unitari'!O38</f>
        <v>2.9550000000000001</v>
      </c>
      <c r="F12" s="20" t="s">
        <v>27</v>
      </c>
      <c r="G12" s="265">
        <f t="shared" si="0"/>
        <v>3.8415000000000004</v>
      </c>
      <c r="H12" s="56"/>
      <c r="I12" s="265">
        <f t="shared" si="2"/>
        <v>2.9550000000000001</v>
      </c>
      <c r="J12" s="20"/>
      <c r="K12" s="56">
        <f>D12*O4</f>
        <v>3.8415000000000004</v>
      </c>
      <c r="L12" s="20" t="s">
        <v>27</v>
      </c>
      <c r="M12" s="56">
        <f t="shared" ref="M12:M19" si="4">D12</f>
        <v>2.9550000000000001</v>
      </c>
    </row>
    <row r="13" spans="2:17" ht="17.25">
      <c r="B13" s="208" t="s">
        <v>253</v>
      </c>
      <c r="C13" s="276" t="s">
        <v>252</v>
      </c>
      <c r="D13" s="56">
        <f>'Carichi Unitari'!G38</f>
        <v>3.7050000000000001</v>
      </c>
      <c r="F13" s="20" t="s">
        <v>27</v>
      </c>
      <c r="G13" s="265">
        <f t="shared" si="0"/>
        <v>4.8165000000000004</v>
      </c>
      <c r="H13" s="56"/>
      <c r="I13" s="265">
        <f t="shared" si="2"/>
        <v>3.7050000000000001</v>
      </c>
      <c r="J13" s="20"/>
      <c r="K13" s="56">
        <f>D13*1.3</f>
        <v>4.8165000000000004</v>
      </c>
      <c r="L13" s="20" t="s">
        <v>27</v>
      </c>
      <c r="M13" s="56">
        <f t="shared" si="4"/>
        <v>3.7050000000000001</v>
      </c>
    </row>
    <row r="14" spans="2:17" ht="17.25">
      <c r="B14" s="208" t="s">
        <v>417</v>
      </c>
      <c r="C14" s="276" t="s">
        <v>252</v>
      </c>
      <c r="D14" s="56">
        <f>'Carichi Unitari'!B52</f>
        <v>3.0550000000000002</v>
      </c>
      <c r="F14" s="20" t="s">
        <v>27</v>
      </c>
      <c r="G14" s="265">
        <f t="shared" si="0"/>
        <v>3.9715000000000003</v>
      </c>
      <c r="H14" s="56"/>
      <c r="I14" s="265">
        <f t="shared" si="2"/>
        <v>3.0550000000000002</v>
      </c>
      <c r="J14" s="20"/>
      <c r="K14" s="20" t="s">
        <v>27</v>
      </c>
      <c r="L14" s="20" t="s">
        <v>27</v>
      </c>
      <c r="M14" s="56">
        <f t="shared" si="4"/>
        <v>3.0550000000000002</v>
      </c>
    </row>
    <row r="15" spans="2:17" ht="17.25">
      <c r="B15" s="208" t="s">
        <v>323</v>
      </c>
      <c r="C15" s="276" t="s">
        <v>252</v>
      </c>
      <c r="D15" s="56">
        <f>'Carichi Unitari'!Q31</f>
        <v>2.5168000000000004</v>
      </c>
      <c r="F15" s="20" t="s">
        <v>27</v>
      </c>
      <c r="G15" s="265">
        <f>D15*O4</f>
        <v>3.2718400000000005</v>
      </c>
      <c r="H15" s="56"/>
      <c r="I15" s="265">
        <f>D15</f>
        <v>2.5168000000000004</v>
      </c>
      <c r="J15" s="20"/>
      <c r="K15" s="56">
        <f>G15</f>
        <v>3.2718400000000005</v>
      </c>
      <c r="L15" s="20" t="s">
        <v>27</v>
      </c>
      <c r="M15" s="56">
        <f t="shared" si="4"/>
        <v>2.5168000000000004</v>
      </c>
    </row>
    <row r="16" spans="2:17" ht="17.25">
      <c r="B16" s="208" t="s">
        <v>45</v>
      </c>
      <c r="C16" s="276" t="s">
        <v>252</v>
      </c>
      <c r="D16" s="20">
        <f>'Carichi Unitari'!G31</f>
        <v>5.7200000000000006</v>
      </c>
      <c r="F16" s="20" t="s">
        <v>27</v>
      </c>
      <c r="G16" s="265">
        <f t="shared" si="0"/>
        <v>7.4360000000000008</v>
      </c>
      <c r="H16" s="56"/>
      <c r="I16" s="265">
        <f t="shared" si="2"/>
        <v>5.7200000000000006</v>
      </c>
      <c r="J16" s="20"/>
      <c r="K16" s="56">
        <f>D16*1.3</f>
        <v>7.4360000000000008</v>
      </c>
      <c r="L16" s="20" t="s">
        <v>27</v>
      </c>
      <c r="M16" s="20">
        <f t="shared" si="4"/>
        <v>5.7200000000000006</v>
      </c>
    </row>
    <row r="17" spans="2:13">
      <c r="B17" s="208" t="s">
        <v>255</v>
      </c>
      <c r="C17" s="85" t="s">
        <v>256</v>
      </c>
      <c r="D17" s="56">
        <f>'Carichi Unitari'!F77</f>
        <v>16.275000000000002</v>
      </c>
      <c r="F17" s="20" t="s">
        <v>27</v>
      </c>
      <c r="G17" s="265">
        <f t="shared" si="0"/>
        <v>21.157500000000002</v>
      </c>
      <c r="H17" s="56"/>
      <c r="I17" s="265">
        <f t="shared" si="2"/>
        <v>16.275000000000002</v>
      </c>
      <c r="J17" s="20"/>
      <c r="K17" s="294">
        <f>D17*O4</f>
        <v>21.157500000000002</v>
      </c>
      <c r="L17" s="20" t="s">
        <v>27</v>
      </c>
      <c r="M17" s="56">
        <f t="shared" si="4"/>
        <v>16.275000000000002</v>
      </c>
    </row>
    <row r="18" spans="2:13">
      <c r="B18" s="208" t="s">
        <v>284</v>
      </c>
      <c r="C18" s="85" t="s">
        <v>256</v>
      </c>
      <c r="D18" s="56">
        <f>'Carichi Unitari'!M77</f>
        <v>13.65</v>
      </c>
      <c r="F18" s="20" t="s">
        <v>27</v>
      </c>
      <c r="G18" s="265">
        <f t="shared" si="0"/>
        <v>17.745000000000001</v>
      </c>
      <c r="H18" s="56"/>
      <c r="I18" s="265">
        <f t="shared" si="2"/>
        <v>13.65</v>
      </c>
      <c r="J18" s="20"/>
      <c r="K18" s="294">
        <f>D18*O4</f>
        <v>17.745000000000001</v>
      </c>
      <c r="L18" s="20" t="s">
        <v>27</v>
      </c>
      <c r="M18" s="56">
        <f t="shared" si="4"/>
        <v>13.65</v>
      </c>
    </row>
    <row r="19" spans="2:13">
      <c r="B19" s="208" t="s">
        <v>285</v>
      </c>
      <c r="C19" s="85" t="s">
        <v>256</v>
      </c>
      <c r="D19" s="212">
        <f>'Carichi Unitari'!T77</f>
        <v>14.175000000000001</v>
      </c>
      <c r="E19" s="302"/>
      <c r="F19" s="21" t="s">
        <v>27</v>
      </c>
      <c r="G19" s="292">
        <f t="shared" si="0"/>
        <v>18.427500000000002</v>
      </c>
      <c r="H19" s="212"/>
      <c r="I19" s="292">
        <f t="shared" si="2"/>
        <v>14.175000000000001</v>
      </c>
      <c r="J19" s="21"/>
      <c r="K19" s="295">
        <f>D19*$O$4</f>
        <v>18.427500000000002</v>
      </c>
      <c r="L19" s="21" t="s">
        <v>27</v>
      </c>
      <c r="M19" s="212">
        <f t="shared" si="4"/>
        <v>14.175000000000001</v>
      </c>
    </row>
    <row r="21" spans="2:13">
      <c r="B21" s="208" t="s">
        <v>316</v>
      </c>
      <c r="C21" s="85" t="s">
        <v>256</v>
      </c>
      <c r="D21" s="206">
        <f>'Carichi Unitari'!T82</f>
        <v>6.9749999999999996</v>
      </c>
      <c r="E21" s="269"/>
      <c r="F21" s="69" t="s">
        <v>27</v>
      </c>
      <c r="G21" s="280">
        <f>D21*$O$4</f>
        <v>9.067499999999999</v>
      </c>
      <c r="H21" s="300"/>
      <c r="I21" s="280">
        <f>D21</f>
        <v>6.9749999999999996</v>
      </c>
      <c r="J21" s="300"/>
      <c r="K21" s="301">
        <f>D21*$O$4</f>
        <v>9.067499999999999</v>
      </c>
      <c r="L21" s="69" t="s">
        <v>27</v>
      </c>
      <c r="M21" s="206">
        <f>D21</f>
        <v>6.9749999999999996</v>
      </c>
    </row>
    <row r="22" spans="2:13">
      <c r="B22" s="208" t="s">
        <v>317</v>
      </c>
      <c r="C22" s="85" t="s">
        <v>256</v>
      </c>
      <c r="D22" s="56">
        <f>'Carichi Unitari'!T86</f>
        <v>5.85</v>
      </c>
      <c r="E22" s="281"/>
      <c r="F22" s="20" t="s">
        <v>27</v>
      </c>
      <c r="G22" s="265">
        <f>D22*$O$4</f>
        <v>7.6049999999999995</v>
      </c>
      <c r="H22" s="278"/>
      <c r="I22" s="265">
        <f>D22</f>
        <v>5.85</v>
      </c>
      <c r="J22" s="278"/>
      <c r="K22" s="294">
        <f>D22*$O$4</f>
        <v>7.6049999999999995</v>
      </c>
      <c r="L22" s="20" t="s">
        <v>27</v>
      </c>
      <c r="M22" s="56">
        <f>D22</f>
        <v>5.85</v>
      </c>
    </row>
    <row r="23" spans="2:13">
      <c r="B23" s="208" t="s">
        <v>318</v>
      </c>
      <c r="C23" s="85" t="s">
        <v>256</v>
      </c>
      <c r="D23" s="212">
        <f>'Carichi Unitari'!T90</f>
        <v>6.0750000000000002</v>
      </c>
      <c r="E23" s="207"/>
      <c r="F23" s="21" t="s">
        <v>27</v>
      </c>
      <c r="G23" s="292">
        <f>D23*$O$4</f>
        <v>7.8975000000000009</v>
      </c>
      <c r="H23" s="293"/>
      <c r="I23" s="292">
        <f>D23</f>
        <v>6.0750000000000002</v>
      </c>
      <c r="J23" s="293"/>
      <c r="K23" s="295">
        <f>D23*$O$4</f>
        <v>7.8975000000000009</v>
      </c>
      <c r="L23" s="21" t="s">
        <v>27</v>
      </c>
      <c r="M23" s="212">
        <f>D23</f>
        <v>6.0750000000000002</v>
      </c>
    </row>
    <row r="25" spans="2:13">
      <c r="C25" s="306"/>
      <c r="J25" s="306"/>
    </row>
    <row r="26" spans="2:13" ht="15.75">
      <c r="C26" s="359"/>
      <c r="D26" s="359"/>
      <c r="E26" s="359"/>
      <c r="F26" s="360"/>
      <c r="J26" s="359"/>
      <c r="K26" s="359"/>
      <c r="L26" s="359"/>
      <c r="M26" s="360"/>
    </row>
    <row r="27" spans="2:13">
      <c r="B27" s="43"/>
      <c r="H27" s="43"/>
      <c r="J27" s="307"/>
      <c r="K27" s="307"/>
      <c r="L27" s="307"/>
      <c r="M27" s="307"/>
    </row>
    <row r="28" spans="2:13">
      <c r="B28" s="43"/>
      <c r="C28" s="53"/>
      <c r="D28" s="53"/>
      <c r="E28" s="53"/>
      <c r="F28" s="11"/>
      <c r="H28" s="43"/>
    </row>
    <row r="29" spans="2:13">
      <c r="B29" s="43"/>
      <c r="C29" s="53"/>
      <c r="D29" s="53"/>
      <c r="E29" s="53"/>
      <c r="F29" s="11"/>
      <c r="H29" s="43"/>
      <c r="J29" s="307"/>
      <c r="K29" s="307"/>
      <c r="L29" s="307"/>
      <c r="M29" s="307"/>
    </row>
    <row r="30" spans="2:13">
      <c r="B30" s="43"/>
      <c r="C30" s="53"/>
      <c r="D30" s="11"/>
      <c r="E30" s="53"/>
      <c r="H30" s="43"/>
    </row>
    <row r="31" spans="2:13">
      <c r="B31" s="43"/>
      <c r="C31" s="53"/>
      <c r="D31" s="11"/>
      <c r="E31" s="53"/>
      <c r="H31" s="43"/>
    </row>
    <row r="32" spans="2:13">
      <c r="B32" s="43"/>
      <c r="C32" s="53"/>
      <c r="D32" s="11"/>
      <c r="E32" s="53"/>
      <c r="H32" s="43"/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Q315"/>
  <sheetViews>
    <sheetView workbookViewId="0">
      <selection activeCell="AN4" sqref="AN4"/>
    </sheetView>
  </sheetViews>
  <sheetFormatPr defaultRowHeight="15"/>
  <cols>
    <col min="1" max="1" width="18" customWidth="1"/>
    <col min="2" max="3" width="10.5703125" bestFit="1" customWidth="1"/>
    <col min="6" max="6" width="11.5703125" customWidth="1"/>
    <col min="7" max="10" width="9.140625" customWidth="1"/>
    <col min="11" max="11" width="11" customWidth="1"/>
    <col min="12" max="14" width="9.140625" customWidth="1"/>
    <col min="15" max="17" width="10.5703125" customWidth="1"/>
    <col min="18" max="18" width="9.5703125" customWidth="1"/>
    <col min="19" max="20" width="9.140625" customWidth="1"/>
    <col min="21" max="21" width="9.5703125" customWidth="1"/>
    <col min="22" max="22" width="9.5703125" bestFit="1" customWidth="1"/>
    <col min="23" max="23" width="8.85546875" customWidth="1"/>
    <col min="24" max="24" width="12" customWidth="1"/>
  </cols>
  <sheetData>
    <row r="1" spans="1:43">
      <c r="A1" s="270" t="s">
        <v>286</v>
      </c>
    </row>
    <row r="2" spans="1:43">
      <c r="J2" s="83"/>
      <c r="K2" s="83"/>
      <c r="L2" s="83"/>
    </row>
    <row r="3" spans="1:43">
      <c r="A3" s="271" t="s">
        <v>226</v>
      </c>
      <c r="X3" s="270" t="s">
        <v>365</v>
      </c>
      <c r="AA3" s="270"/>
      <c r="AB3" s="305"/>
      <c r="AC3" s="305"/>
      <c r="AD3" s="305"/>
      <c r="AE3" s="305"/>
      <c r="AF3" s="305"/>
      <c r="AG3" s="305"/>
      <c r="AH3" s="305"/>
      <c r="AI3" s="305"/>
      <c r="AJ3" s="305"/>
      <c r="AK3" s="305"/>
      <c r="AL3" s="305"/>
      <c r="AM3" s="305"/>
      <c r="AN3" s="305"/>
      <c r="AO3" s="305"/>
    </row>
    <row r="4" spans="1:43">
      <c r="A4" s="272" t="s">
        <v>287</v>
      </c>
      <c r="C4" s="289" t="s">
        <v>293</v>
      </c>
      <c r="H4" s="289" t="s">
        <v>303</v>
      </c>
      <c r="M4" s="289" t="s">
        <v>331</v>
      </c>
      <c r="S4" s="289" t="s">
        <v>330</v>
      </c>
      <c r="Y4" s="289" t="s">
        <v>293</v>
      </c>
      <c r="Z4" s="289"/>
      <c r="AA4" s="289"/>
      <c r="AB4" s="289"/>
      <c r="AC4" s="289"/>
      <c r="AD4" s="289" t="s">
        <v>303</v>
      </c>
      <c r="AE4" s="289"/>
      <c r="AF4" s="289"/>
      <c r="AG4" s="289"/>
      <c r="AH4" s="289"/>
      <c r="AI4" s="289" t="s">
        <v>331</v>
      </c>
      <c r="AJ4" s="345"/>
      <c r="AK4" s="345"/>
      <c r="AL4" s="345"/>
      <c r="AM4" s="305"/>
      <c r="AN4" s="289" t="s">
        <v>330</v>
      </c>
      <c r="AO4" s="305"/>
    </row>
    <row r="5" spans="1:43" ht="30">
      <c r="A5" s="303" t="s">
        <v>334</v>
      </c>
      <c r="B5" s="62"/>
      <c r="C5" s="285" t="s">
        <v>304</v>
      </c>
      <c r="D5" s="285" t="s">
        <v>305</v>
      </c>
      <c r="E5" s="285" t="s">
        <v>306</v>
      </c>
      <c r="F5" s="286" t="s">
        <v>307</v>
      </c>
      <c r="G5" s="62"/>
      <c r="H5" s="285" t="s">
        <v>304</v>
      </c>
      <c r="I5" s="285" t="s">
        <v>305</v>
      </c>
      <c r="J5" s="285" t="s">
        <v>306</v>
      </c>
      <c r="K5" s="286" t="s">
        <v>307</v>
      </c>
      <c r="L5" s="62"/>
      <c r="M5" s="285" t="s">
        <v>304</v>
      </c>
      <c r="N5" s="285" t="s">
        <v>305</v>
      </c>
      <c r="O5" s="285" t="s">
        <v>306</v>
      </c>
      <c r="P5" s="286" t="s">
        <v>307</v>
      </c>
      <c r="Q5" s="62"/>
      <c r="R5" s="285" t="s">
        <v>304</v>
      </c>
      <c r="S5" s="285" t="s">
        <v>305</v>
      </c>
      <c r="T5" s="285" t="s">
        <v>306</v>
      </c>
      <c r="U5" s="286" t="s">
        <v>307</v>
      </c>
      <c r="X5" s="270"/>
      <c r="Y5" s="350" t="s">
        <v>373</v>
      </c>
      <c r="Z5" s="351" t="s">
        <v>374</v>
      </c>
      <c r="AA5" s="352" t="s">
        <v>376</v>
      </c>
      <c r="AB5" s="352" t="s">
        <v>375</v>
      </c>
      <c r="AD5" s="350" t="s">
        <v>373</v>
      </c>
      <c r="AE5" s="351" t="s">
        <v>374</v>
      </c>
      <c r="AF5" s="352" t="s">
        <v>376</v>
      </c>
      <c r="AG5" s="352" t="s">
        <v>375</v>
      </c>
      <c r="AH5" s="353"/>
      <c r="AI5" s="350" t="s">
        <v>373</v>
      </c>
      <c r="AJ5" s="351" t="s">
        <v>374</v>
      </c>
      <c r="AK5" s="352" t="s">
        <v>376</v>
      </c>
      <c r="AL5" s="352" t="s">
        <v>375</v>
      </c>
      <c r="AM5" s="304"/>
      <c r="AN5" s="350" t="s">
        <v>373</v>
      </c>
      <c r="AO5" s="351" t="s">
        <v>374</v>
      </c>
      <c r="AP5" s="352" t="s">
        <v>376</v>
      </c>
      <c r="AQ5" s="352" t="s">
        <v>375</v>
      </c>
    </row>
    <row r="6" spans="1:43" ht="15.75">
      <c r="A6" s="303"/>
      <c r="B6" s="43"/>
      <c r="C6" s="285"/>
      <c r="D6" s="285"/>
      <c r="E6" s="285"/>
      <c r="F6" s="286"/>
      <c r="G6" s="62"/>
      <c r="H6" s="285"/>
      <c r="I6" s="285"/>
      <c r="J6" s="285"/>
      <c r="K6" s="286"/>
      <c r="L6" s="62"/>
      <c r="M6" s="285"/>
      <c r="N6" s="285"/>
      <c r="O6" s="285"/>
      <c r="P6" s="286"/>
      <c r="Q6" s="62"/>
      <c r="R6" s="285"/>
      <c r="S6" s="285"/>
      <c r="T6" s="285"/>
      <c r="U6" s="286"/>
      <c r="X6" s="329" t="s">
        <v>334</v>
      </c>
      <c r="Y6" s="23">
        <f>E13</f>
        <v>3.9449999999999998</v>
      </c>
      <c r="Z6" s="310">
        <f>F13</f>
        <v>0</v>
      </c>
      <c r="AA6" s="310">
        <f>C14</f>
        <v>5.5785000000000009</v>
      </c>
      <c r="AB6" s="310">
        <f>E14</f>
        <v>3.9449999999999998</v>
      </c>
      <c r="AC6" s="311"/>
      <c r="AD6" s="310">
        <f>J13</f>
        <v>10.72</v>
      </c>
      <c r="AE6" s="310">
        <f>K13</f>
        <v>0.89999999999999991</v>
      </c>
      <c r="AF6" s="310">
        <f>H14</f>
        <v>16.335999999999999</v>
      </c>
      <c r="AG6" s="310">
        <f>J14</f>
        <v>11.620000000000001</v>
      </c>
      <c r="AI6" s="310">
        <f>O13</f>
        <v>11.47</v>
      </c>
      <c r="AJ6" s="310">
        <f>P13</f>
        <v>0.89999999999999991</v>
      </c>
      <c r="AK6" s="310">
        <f>M14</f>
        <v>17.311</v>
      </c>
      <c r="AL6" s="310">
        <f>O14</f>
        <v>12.370000000000001</v>
      </c>
      <c r="AM6" s="304"/>
      <c r="AN6" s="310">
        <f>T13</f>
        <v>11.47</v>
      </c>
      <c r="AO6" s="310">
        <f>U13</f>
        <v>0.89999999999999991</v>
      </c>
      <c r="AP6" s="310">
        <f>R14</f>
        <v>17.311</v>
      </c>
      <c r="AQ6" s="310">
        <f>T14</f>
        <v>12.370000000000001</v>
      </c>
    </row>
    <row r="7" spans="1:43">
      <c r="A7" s="299" t="s">
        <v>288</v>
      </c>
      <c r="B7" s="83"/>
      <c r="C7" s="304" t="str">
        <f>IF(B7="","",B7*'C.U. tab. riassuntiva'!$G$7)</f>
        <v/>
      </c>
      <c r="D7" s="304" t="str">
        <f>IF(B7="","",B7*'C.U. tab. riassuntiva'!$H$7)</f>
        <v/>
      </c>
      <c r="E7" s="304" t="str">
        <f>IF(B7="","",B7*'C.U. tab. riassuntiva'!$I$7)</f>
        <v/>
      </c>
      <c r="F7" s="304" t="str">
        <f>IF(B7="","",B7*'C.U. tab. riassuntiva'!$J$7)</f>
        <v/>
      </c>
      <c r="G7" s="3">
        <v>0.5</v>
      </c>
      <c r="H7" s="304">
        <f>IF(G7="","",G7*'C.U. tab. riassuntiva'!$G$4)</f>
        <v>2.6585000000000001</v>
      </c>
      <c r="I7" s="304">
        <f>IF(G7="","",G7*'C.U. tab. riassuntiva'!$H$4)</f>
        <v>2.4</v>
      </c>
      <c r="J7" s="304">
        <f>IF(G7="","",G7*'C.U. tab. riassuntiva'!$I$4)</f>
        <v>2.0449999999999999</v>
      </c>
      <c r="K7" s="304">
        <f>IF(G7="","",G7*'C.U. tab. riassuntiva'!$J$4)</f>
        <v>0.89999999999999991</v>
      </c>
      <c r="L7" s="3">
        <v>0.5</v>
      </c>
      <c r="M7" s="304">
        <f>IF(L7="","",L7*'C.U. tab. riassuntiva'!$G$4)</f>
        <v>2.6585000000000001</v>
      </c>
      <c r="N7" s="304">
        <f>IF(L7="","",L7*'C.U. tab. riassuntiva'!$H$4)</f>
        <v>2.4</v>
      </c>
      <c r="O7" s="304">
        <f>IF(L7="","",L7*'C.U. tab. riassuntiva'!$I$4)</f>
        <v>2.0449999999999999</v>
      </c>
      <c r="P7" s="304">
        <f>IF(L7="","",L7*'C.U. tab. riassuntiva'!$J$4)</f>
        <v>0.89999999999999991</v>
      </c>
      <c r="Q7" s="3">
        <v>0.5</v>
      </c>
      <c r="R7" s="304">
        <f>IF(Q7="","",Q7*'C.U. tab. riassuntiva'!$G$4)</f>
        <v>2.6585000000000001</v>
      </c>
      <c r="S7" s="304">
        <f>IF(Q7="","",Q7*'C.U. tab. riassuntiva'!$H$4)</f>
        <v>2.4</v>
      </c>
      <c r="T7" s="304">
        <f>IF(Q7="","",Q7*'C.U. tab. riassuntiva'!$I$4)</f>
        <v>2.0449999999999999</v>
      </c>
      <c r="U7" s="304">
        <f>IF(Q7="","",Q7*'C.U. tab. riassuntiva'!$J$4)</f>
        <v>0.89999999999999991</v>
      </c>
      <c r="X7" s="335" t="s">
        <v>332</v>
      </c>
      <c r="Y7" s="338">
        <f>E25</f>
        <v>19.30452519893899</v>
      </c>
      <c r="Z7" s="338">
        <f>F25</f>
        <v>1.38</v>
      </c>
      <c r="AA7" s="338">
        <f>C26</f>
        <v>35.026121485411139</v>
      </c>
      <c r="AB7" s="338">
        <f>E26</f>
        <v>20.684525198938989</v>
      </c>
      <c r="AC7" s="160"/>
      <c r="AD7" s="338">
        <f>J25</f>
        <v>32.31758620689655</v>
      </c>
      <c r="AE7" s="338">
        <f>K25</f>
        <v>12.581379310344825</v>
      </c>
      <c r="AF7" s="338">
        <f>H26</f>
        <v>74.156310344827588</v>
      </c>
      <c r="AG7" s="338">
        <f>J26</f>
        <v>44.898965517241379</v>
      </c>
      <c r="AH7" s="160"/>
      <c r="AI7" s="338">
        <f>O25</f>
        <v>33.06758620689655</v>
      </c>
      <c r="AJ7" s="338">
        <f>P25</f>
        <v>12.581379310344825</v>
      </c>
      <c r="AK7" s="338">
        <f>M26</f>
        <v>75.131310344827583</v>
      </c>
      <c r="AL7" s="338">
        <f>O26</f>
        <v>45.648965517241379</v>
      </c>
      <c r="AM7" s="338"/>
      <c r="AN7" s="338">
        <f>T25</f>
        <v>18.259999999999998</v>
      </c>
      <c r="AO7" s="338">
        <f>U25</f>
        <v>4.1399999999999997</v>
      </c>
      <c r="AP7" s="338">
        <f>R26</f>
        <v>34.777999999999999</v>
      </c>
      <c r="AQ7" s="338">
        <f>T26</f>
        <v>22.4</v>
      </c>
    </row>
    <row r="8" spans="1:43">
      <c r="A8" s="299" t="s">
        <v>289</v>
      </c>
      <c r="B8" s="83">
        <v>0.6</v>
      </c>
      <c r="C8" s="304">
        <f>IF(B8="","",B8*'C.U. tab. riassuntiva'!$G$9)</f>
        <v>1.2869999999999999</v>
      </c>
      <c r="D8" s="304">
        <f>IF(B8="","",B8*'C.U. tab. riassuntiva'!$H$9)</f>
        <v>0.44999999999999996</v>
      </c>
      <c r="E8" s="304">
        <f>IF(B8="","",B8*'C.U. tab. riassuntiva'!$I$9)</f>
        <v>0.98999999999999988</v>
      </c>
      <c r="F8" s="304">
        <f>IF(B8="","",B8*'C.U. tab. riassuntiva'!$J$9)</f>
        <v>0</v>
      </c>
      <c r="G8" s="3"/>
      <c r="H8" s="304" t="str">
        <f>IF(G8="","",G8*'C.U. tab. riassuntiva'!$G$10)</f>
        <v/>
      </c>
      <c r="I8" s="304" t="str">
        <f>IF(G8="","",G8*'C.U. tab. riassuntiva'!$H$10)</f>
        <v/>
      </c>
      <c r="J8" s="304" t="str">
        <f>IF(G8="","",G8*'C.U. tab. riassuntiva'!$I$10)</f>
        <v/>
      </c>
      <c r="K8" s="304" t="str">
        <f>IF(G8="","",G8*'C.U. tab. riassuntiva'!$J$10)</f>
        <v/>
      </c>
      <c r="L8" s="3"/>
      <c r="M8" s="304" t="str">
        <f>IF(L8="","",L8*'C.U. tab. riassuntiva'!$G$10)</f>
        <v/>
      </c>
      <c r="N8" s="304" t="str">
        <f>IF(L8="","",L8*'C.U. tab. riassuntiva'!$H$10)</f>
        <v/>
      </c>
      <c r="O8" s="304" t="str">
        <f>IF(L8="","",L8*'C.U. tab. riassuntiva'!$I$10)</f>
        <v/>
      </c>
      <c r="P8" s="304" t="str">
        <f>IF(L8="","",L8*'C.U. tab. riassuntiva'!$J$10)</f>
        <v/>
      </c>
      <c r="Q8" s="3"/>
      <c r="R8" s="304" t="str">
        <f>IF(Q8="","",Q8*'C.U. tab. riassuntiva'!$G$10)</f>
        <v/>
      </c>
      <c r="S8" s="304" t="str">
        <f>IF(Q8="","",Q8*'C.U. tab. riassuntiva'!$H$10)</f>
        <v/>
      </c>
      <c r="T8" s="304" t="str">
        <f>IF(Q8="","",Q8*'C.U. tab. riassuntiva'!$I$10)</f>
        <v/>
      </c>
      <c r="U8" s="304" t="str">
        <f>IF(Q8="","",Q8*'C.U. tab. riassuntiva'!$J$10)</f>
        <v/>
      </c>
      <c r="X8" s="335" t="s">
        <v>333</v>
      </c>
      <c r="Y8" s="338">
        <f>E37</f>
        <v>15.113</v>
      </c>
      <c r="Z8" s="338">
        <f>F37</f>
        <v>1.38</v>
      </c>
      <c r="AA8" s="338">
        <f>C38</f>
        <v>27.671899999999997</v>
      </c>
      <c r="AB8" s="338">
        <f>E38</f>
        <v>16.492999999999999</v>
      </c>
      <c r="AC8" s="160"/>
      <c r="AD8" s="338">
        <f>J37</f>
        <v>23.253</v>
      </c>
      <c r="AE8" s="338">
        <f>K37</f>
        <v>7.7399999999999993</v>
      </c>
      <c r="AF8" s="338">
        <f>H38</f>
        <v>50.268900000000002</v>
      </c>
      <c r="AG8" s="338">
        <f>J38</f>
        <v>30.992999999999999</v>
      </c>
      <c r="AH8" s="160"/>
      <c r="AI8" s="338">
        <f>O37</f>
        <v>24.003</v>
      </c>
      <c r="AJ8" s="338">
        <f>P37</f>
        <v>7.7399999999999993</v>
      </c>
      <c r="AK8" s="338">
        <f>M38</f>
        <v>51.243900000000004</v>
      </c>
      <c r="AL8" s="338">
        <f>O38</f>
        <v>31.742999999999999</v>
      </c>
      <c r="AM8" s="338"/>
      <c r="AN8" s="338">
        <f>T37</f>
        <v>18.259999999999998</v>
      </c>
      <c r="AO8" s="338">
        <f>U37</f>
        <v>4.1399999999999997</v>
      </c>
      <c r="AP8" s="338">
        <f>R38</f>
        <v>34.777999999999999</v>
      </c>
      <c r="AQ8" s="338">
        <f>T38</f>
        <v>22.4</v>
      </c>
    </row>
    <row r="9" spans="1:43">
      <c r="A9" s="299" t="s">
        <v>290</v>
      </c>
      <c r="C9" s="304" t="str">
        <f>IF(B9="","",B9*'C.U. tab. riassuntiva'!$G$11)</f>
        <v/>
      </c>
      <c r="D9" s="304" t="str">
        <f>IF(B9="","",B9*'C.U. tab. riassuntiva'!$H$11)</f>
        <v/>
      </c>
      <c r="E9" s="304" t="str">
        <f>IF(B9="","",B9*'C.U. tab. riassuntiva'!$I$11)</f>
        <v/>
      </c>
      <c r="F9" s="304" t="str">
        <f>IF(B9="","",B9*'C.U. tab. riassuntiva'!$J$11)</f>
        <v/>
      </c>
      <c r="G9" s="62"/>
      <c r="H9" s="304" t="str">
        <f>IF(G9="","",G9*'C.U. tab. riassuntiva'!$G$11)</f>
        <v/>
      </c>
      <c r="I9" s="304" t="str">
        <f>IF(G9="","",G9*'C.U. tab. riassuntiva'!$H$11)</f>
        <v/>
      </c>
      <c r="J9" s="304" t="str">
        <f>IF(G9="","",G9*'C.U. tab. riassuntiva'!$I$11)</f>
        <v/>
      </c>
      <c r="K9" s="304" t="str">
        <f>IF(G9="","",G9*'C.U. tab. riassuntiva'!$J$11)</f>
        <v/>
      </c>
      <c r="L9" s="62"/>
      <c r="M9" s="304" t="str">
        <f>IF(L9="","",L9*'C.U. tab. riassuntiva'!$G$11)</f>
        <v/>
      </c>
      <c r="N9" s="304" t="str">
        <f>IF(L9="","",L9*'C.U. tab. riassuntiva'!$H$11)</f>
        <v/>
      </c>
      <c r="O9" s="304" t="str">
        <f>IF(L9="","",L9*'C.U. tab. riassuntiva'!$I$11)</f>
        <v/>
      </c>
      <c r="P9" s="304" t="str">
        <f>IF(L9="","",L9*'C.U. tab. riassuntiva'!$J$11)</f>
        <v/>
      </c>
      <c r="Q9" s="62"/>
      <c r="R9" s="304" t="str">
        <f>IF(Q9="","",Q9*'C.U. tab. riassuntiva'!$G$11)</f>
        <v/>
      </c>
      <c r="S9" s="304" t="str">
        <f>IF(Q9="","",Q9*'C.U. tab. riassuntiva'!$H$11)</f>
        <v/>
      </c>
      <c r="T9" s="304" t="str">
        <f>IF(Q9="","",Q9*'C.U. tab. riassuntiva'!$I$11)</f>
        <v/>
      </c>
      <c r="U9" s="304" t="str">
        <f>IF(Q9="","",Q9*'C.U. tab. riassuntiva'!$J$11)</f>
        <v/>
      </c>
      <c r="X9" s="335" t="s">
        <v>335</v>
      </c>
      <c r="Y9" s="338">
        <f>E50</f>
        <v>7.165</v>
      </c>
      <c r="Z9" s="338">
        <f>F50</f>
        <v>0.6</v>
      </c>
      <c r="AA9" s="338">
        <f>C51</f>
        <v>12.314500000000001</v>
      </c>
      <c r="AB9" s="338">
        <f>E51</f>
        <v>7.7649999999999997</v>
      </c>
      <c r="AC9" s="160"/>
      <c r="AD9" s="338">
        <f>J50</f>
        <v>7.0449999999999999</v>
      </c>
      <c r="AE9" s="338">
        <f>K50</f>
        <v>1.7999999999999998</v>
      </c>
      <c r="AF9" s="338">
        <f>H51</f>
        <v>13.958500000000001</v>
      </c>
      <c r="AG9" s="338">
        <f>J51</f>
        <v>8.8449999999999989</v>
      </c>
      <c r="AH9" s="160"/>
      <c r="AI9" s="338">
        <f>O50</f>
        <v>7.7949999999999999</v>
      </c>
      <c r="AJ9" s="338">
        <f>P50</f>
        <v>1.7999999999999998</v>
      </c>
      <c r="AK9" s="338">
        <f>M51</f>
        <v>14.933500000000002</v>
      </c>
      <c r="AL9" s="338">
        <f>O51</f>
        <v>9.5949999999999989</v>
      </c>
      <c r="AM9" s="338"/>
      <c r="AN9" s="338">
        <f>T50</f>
        <v>7.7949999999999999</v>
      </c>
      <c r="AO9" s="338">
        <f>U50</f>
        <v>1.7999999999999998</v>
      </c>
      <c r="AP9" s="338">
        <f>R51</f>
        <v>14.933500000000002</v>
      </c>
      <c r="AQ9" s="338">
        <f>T51</f>
        <v>9.5949999999999989</v>
      </c>
    </row>
    <row r="10" spans="1:43">
      <c r="A10" s="299" t="s">
        <v>291</v>
      </c>
      <c r="B10" s="83">
        <v>1</v>
      </c>
      <c r="C10" s="304">
        <f>IF(B10="","",B10*'C.U. tab. riassuntiva'!$G$12)</f>
        <v>3.8415000000000004</v>
      </c>
      <c r="D10" s="304"/>
      <c r="E10" s="304">
        <f>IF(B10="","",B10*'C.U. tab. riassuntiva'!$I$12)</f>
        <v>2.9550000000000001</v>
      </c>
      <c r="F10" s="304"/>
      <c r="G10" s="3">
        <v>1</v>
      </c>
      <c r="H10" s="304">
        <f>IF(G10="","",G10*'C.U. tab. riassuntiva'!$G$12)</f>
        <v>3.8415000000000004</v>
      </c>
      <c r="I10" s="304"/>
      <c r="J10" s="304">
        <f>IF(G10="","",G10*'C.U. tab. riassuntiva'!$I$12)</f>
        <v>2.9550000000000001</v>
      </c>
      <c r="K10" s="304"/>
      <c r="L10" s="3">
        <v>1</v>
      </c>
      <c r="M10" s="304">
        <f>IF(L10="","",L10*'C.U. tab. riassuntiva'!$G$13)</f>
        <v>4.8165000000000004</v>
      </c>
      <c r="N10" s="304"/>
      <c r="O10" s="304">
        <f>IF(L10="","",L10*'C.U. tab. riassuntiva'!$I$13)</f>
        <v>3.7050000000000001</v>
      </c>
      <c r="P10" s="304"/>
      <c r="Q10" s="3">
        <v>1</v>
      </c>
      <c r="R10" s="304">
        <f>IF(Q10="","",Q10*'C.U. tab. riassuntiva'!$G$13)</f>
        <v>4.8165000000000004</v>
      </c>
      <c r="S10" s="304"/>
      <c r="T10" s="304">
        <f>IF(Q10="","",Q10*'C.U. tab. riassuntiva'!$I$13)</f>
        <v>3.7050000000000001</v>
      </c>
      <c r="U10" s="304"/>
      <c r="X10" s="335" t="s">
        <v>369</v>
      </c>
      <c r="Y10" s="338">
        <f>E62</f>
        <v>22.1526</v>
      </c>
      <c r="Z10" s="338">
        <f>F62</f>
        <v>2.7359999999999998</v>
      </c>
      <c r="AA10" s="338">
        <f>C63</f>
        <v>42.478380000000001</v>
      </c>
      <c r="AB10" s="338">
        <f>E63</f>
        <v>24.8886</v>
      </c>
      <c r="AC10" s="160"/>
      <c r="AD10" s="338">
        <f>J62</f>
        <v>21.605399999999996</v>
      </c>
      <c r="AE10" s="338">
        <f>K62</f>
        <v>8.2079999999999984</v>
      </c>
      <c r="AF10" s="338">
        <f>H63</f>
        <v>49.975020000000001</v>
      </c>
      <c r="AG10" s="338">
        <f>J63</f>
        <v>29.813399999999994</v>
      </c>
      <c r="AH10" s="160"/>
      <c r="AI10" s="338">
        <f>O62</f>
        <v>22.355399999999996</v>
      </c>
      <c r="AJ10" s="338">
        <f>P62</f>
        <v>8.2079999999999984</v>
      </c>
      <c r="AK10" s="338">
        <f>M63</f>
        <v>50.950019999999995</v>
      </c>
      <c r="AL10" s="338">
        <f>O63</f>
        <v>30.563399999999994</v>
      </c>
      <c r="AM10" s="338"/>
      <c r="AN10" s="338">
        <f>T62</f>
        <v>22.355399999999996</v>
      </c>
      <c r="AO10" s="338">
        <f>U62</f>
        <v>8.2079999999999984</v>
      </c>
      <c r="AP10" s="338">
        <f>R63</f>
        <v>50.950019999999995</v>
      </c>
      <c r="AQ10" s="338">
        <f>T63</f>
        <v>30.563399999999994</v>
      </c>
    </row>
    <row r="11" spans="1:43">
      <c r="A11" s="299" t="s">
        <v>292</v>
      </c>
      <c r="C11" s="304" t="str">
        <f>IF(B11="","",B11*'C.U. tab. riassuntiva'!$G$14)</f>
        <v/>
      </c>
      <c r="D11" s="304"/>
      <c r="E11" s="304" t="str">
        <f>IF(B11="","",B11*'C.U. tab. riassuntiva'!$I$14)</f>
        <v/>
      </c>
      <c r="F11" s="304"/>
      <c r="G11" s="62"/>
      <c r="H11" s="304" t="str">
        <f>IF(G11="","",G11*'C.U. tab. riassuntiva'!$G$14)</f>
        <v/>
      </c>
      <c r="I11" s="304"/>
      <c r="J11" s="304" t="str">
        <f>IF(G11="","",G11*'C.U. tab. riassuntiva'!$I$14)</f>
        <v/>
      </c>
      <c r="K11" s="304"/>
      <c r="L11" s="62"/>
      <c r="M11" s="304" t="str">
        <f>IF(L11="","",L11*'C.U. tab. riassuntiva'!$G$14)</f>
        <v/>
      </c>
      <c r="N11" s="304"/>
      <c r="O11" s="304" t="str">
        <f>IF(L11="","",L11*'C.U. tab. riassuntiva'!$I$14)</f>
        <v/>
      </c>
      <c r="P11" s="304"/>
      <c r="Q11" s="62"/>
      <c r="R11" s="304" t="str">
        <f>IF(Q11="","",Q11*'C.U. tab. riassuntiva'!$G$14)</f>
        <v/>
      </c>
      <c r="S11" s="304"/>
      <c r="T11" s="304" t="str">
        <f>IF(Q11="","",Q11*'C.U. tab. riassuntiva'!$I$14)</f>
        <v/>
      </c>
      <c r="U11" s="304"/>
      <c r="X11" s="335" t="s">
        <v>339</v>
      </c>
      <c r="Y11" s="338">
        <f>E74</f>
        <v>23.7682</v>
      </c>
      <c r="Z11" s="338">
        <f>F74</f>
        <v>2.952</v>
      </c>
      <c r="AA11" s="338">
        <f>C75</f>
        <v>45.658659999999998</v>
      </c>
      <c r="AB11" s="338">
        <f>E75</f>
        <v>26.720199999999998</v>
      </c>
      <c r="AC11" s="160"/>
      <c r="AD11" s="338">
        <f>J74</f>
        <v>23.177799999999998</v>
      </c>
      <c r="AE11" s="338">
        <f>K74</f>
        <v>8.8559999999999999</v>
      </c>
      <c r="AF11" s="338">
        <f>H75</f>
        <v>53.747140000000002</v>
      </c>
      <c r="AG11" s="338">
        <f>J75</f>
        <v>32.033799999999999</v>
      </c>
      <c r="AH11" s="160"/>
      <c r="AI11" s="338">
        <f>O74</f>
        <v>23.177799999999998</v>
      </c>
      <c r="AJ11" s="338">
        <f>P74</f>
        <v>8.8559999999999999</v>
      </c>
      <c r="AK11" s="338">
        <f>M75</f>
        <v>53.747140000000002</v>
      </c>
      <c r="AL11" s="338">
        <f>O75</f>
        <v>32.033799999999999</v>
      </c>
      <c r="AM11" s="338"/>
      <c r="AN11" s="338">
        <f>T74</f>
        <v>23.177799999999998</v>
      </c>
      <c r="AO11" s="338">
        <f>U74</f>
        <v>8.8559999999999999</v>
      </c>
      <c r="AP11" s="338">
        <f>R75</f>
        <v>53.747140000000002</v>
      </c>
      <c r="AQ11" s="338">
        <f>T75</f>
        <v>32.033799999999999</v>
      </c>
    </row>
    <row r="12" spans="1:43">
      <c r="A12" s="299" t="s">
        <v>15</v>
      </c>
      <c r="C12" s="77" t="str">
        <f>IF(B12="","",B12*'C.U. tab. riassuntiva'!$G$16)</f>
        <v/>
      </c>
      <c r="D12" s="77"/>
      <c r="E12" s="77" t="str">
        <f>IF(B12="","",B12*'C.U. tab. riassuntiva'!$I$16)</f>
        <v/>
      </c>
      <c r="F12" s="77"/>
      <c r="G12" s="3">
        <v>1</v>
      </c>
      <c r="H12" s="77">
        <f>IF(G12="","",G12*'C.U. tab. riassuntiva'!$G$16)</f>
        <v>7.4360000000000008</v>
      </c>
      <c r="I12" s="77"/>
      <c r="J12" s="77">
        <f>IF(G12="","",G12*'C.U. tab. riassuntiva'!$I$16)</f>
        <v>5.7200000000000006</v>
      </c>
      <c r="K12" s="77"/>
      <c r="L12" s="3">
        <v>1</v>
      </c>
      <c r="M12" s="77">
        <f>IF(L12="","",L12*'C.U. tab. riassuntiva'!$G$16)</f>
        <v>7.4360000000000008</v>
      </c>
      <c r="N12" s="77"/>
      <c r="O12" s="77">
        <f>IF(L12="","",L12*'C.U. tab. riassuntiva'!$I$16)</f>
        <v>5.7200000000000006</v>
      </c>
      <c r="P12" s="77"/>
      <c r="Q12" s="3">
        <v>1</v>
      </c>
      <c r="R12" s="77">
        <f>IF(Q12="","",Q12*'C.U. tab. riassuntiva'!$G$16)</f>
        <v>7.4360000000000008</v>
      </c>
      <c r="S12" s="77"/>
      <c r="T12" s="77">
        <f>IF(Q12="","",Q12*'C.U. tab. riassuntiva'!$I$16)</f>
        <v>5.7200000000000006</v>
      </c>
      <c r="U12" s="77"/>
      <c r="X12" s="334" t="s">
        <v>340</v>
      </c>
      <c r="Y12" s="338">
        <f>E87</f>
        <v>21.705113502633999</v>
      </c>
      <c r="Z12" s="338">
        <f>F87</f>
        <v>4.4880000000000004</v>
      </c>
      <c r="AA12" s="338">
        <f>C88</f>
        <v>40.7116475534242</v>
      </c>
      <c r="AB12" s="338">
        <f>E88</f>
        <v>26.193113502633999</v>
      </c>
      <c r="AC12" s="160"/>
      <c r="AD12" s="338">
        <f>J87</f>
        <v>26.057113502634003</v>
      </c>
      <c r="AE12" s="338">
        <f>K87</f>
        <v>8.5680000000000014</v>
      </c>
      <c r="AF12" s="338">
        <f>H88</f>
        <v>55.294247553424206</v>
      </c>
      <c r="AG12" s="338">
        <f>J88</f>
        <v>34.625113502634008</v>
      </c>
      <c r="AH12" s="160"/>
      <c r="AI12" s="338">
        <f>O87</f>
        <v>26.057113502634003</v>
      </c>
      <c r="AJ12" s="338">
        <f>P87</f>
        <v>8.5680000000000014</v>
      </c>
      <c r="AK12" s="338">
        <f>M88</f>
        <v>55.294247553424206</v>
      </c>
      <c r="AL12" s="338">
        <f>O88</f>
        <v>34.625113502634008</v>
      </c>
      <c r="AM12" s="338"/>
      <c r="AN12" s="338">
        <f>T87</f>
        <v>26.057113502634003</v>
      </c>
      <c r="AO12" s="338">
        <f>U87</f>
        <v>8.5680000000000014</v>
      </c>
      <c r="AP12" s="338">
        <f>R88</f>
        <v>55.294247553424206</v>
      </c>
      <c r="AQ12" s="338">
        <f>T88</f>
        <v>34.625113502634008</v>
      </c>
    </row>
    <row r="13" spans="1:43">
      <c r="A13" s="299"/>
      <c r="C13" s="284">
        <f>SUM(C7:C12)</f>
        <v>5.1285000000000007</v>
      </c>
      <c r="D13" s="284">
        <f>SUM(D7:D12)</f>
        <v>0.44999999999999996</v>
      </c>
      <c r="E13" s="284">
        <f>SUM(E7:E12)</f>
        <v>3.9449999999999998</v>
      </c>
      <c r="F13" s="284">
        <f>SUM(F7:F12)</f>
        <v>0</v>
      </c>
      <c r="G13" s="62"/>
      <c r="H13" s="284">
        <f>SUM(H7:H12)</f>
        <v>13.936</v>
      </c>
      <c r="I13" s="284">
        <f>SUM(I7:I12)</f>
        <v>2.4</v>
      </c>
      <c r="J13" s="284">
        <f>SUM(J7:J12)</f>
        <v>10.72</v>
      </c>
      <c r="K13" s="284">
        <f>SUM(K7:K12)</f>
        <v>0.89999999999999991</v>
      </c>
      <c r="L13" s="62"/>
      <c r="M13" s="284">
        <f>SUM(M7:M12)</f>
        <v>14.911000000000001</v>
      </c>
      <c r="N13" s="284">
        <f>SUM(N7:N12)</f>
        <v>2.4</v>
      </c>
      <c r="O13" s="284">
        <f>SUM(O7:O12)</f>
        <v>11.47</v>
      </c>
      <c r="P13" s="284">
        <f>SUM(P7:P12)</f>
        <v>0.89999999999999991</v>
      </c>
      <c r="Q13" s="62"/>
      <c r="R13" s="284">
        <f>SUM(R7:R12)</f>
        <v>14.911000000000001</v>
      </c>
      <c r="S13" s="284">
        <f>SUM(S7:S12)</f>
        <v>2.4</v>
      </c>
      <c r="T13" s="284">
        <f>SUM(T7:T12)</f>
        <v>11.47</v>
      </c>
      <c r="U13" s="284">
        <f>SUM(U7:U12)</f>
        <v>0.89999999999999991</v>
      </c>
      <c r="X13" s="335" t="s">
        <v>336</v>
      </c>
      <c r="Y13" s="338">
        <f>E99</f>
        <v>16.5533</v>
      </c>
      <c r="Z13" s="338">
        <f>F99</f>
        <v>1.9379999999999999</v>
      </c>
      <c r="AA13" s="338">
        <f>C100</f>
        <v>31.209289999999996</v>
      </c>
      <c r="AB13" s="338">
        <f>E100</f>
        <v>18.491299999999999</v>
      </c>
      <c r="AC13" s="160"/>
      <c r="AD13" s="338">
        <f>J99</f>
        <v>17.883499999999998</v>
      </c>
      <c r="AE13" s="338">
        <f>K99</f>
        <v>6.5699999999999994</v>
      </c>
      <c r="AF13" s="338">
        <f>H100</f>
        <v>40.768550000000005</v>
      </c>
      <c r="AG13" s="338">
        <f>J100</f>
        <v>24.453499999999998</v>
      </c>
      <c r="AH13" s="160"/>
      <c r="AI13" s="338">
        <f>O99</f>
        <v>18.633499999999998</v>
      </c>
      <c r="AJ13" s="338">
        <f>P99</f>
        <v>6.5699999999999994</v>
      </c>
      <c r="AK13" s="338">
        <f>M100</f>
        <v>41.743549999999999</v>
      </c>
      <c r="AL13" s="338">
        <f>O100</f>
        <v>25.203499999999998</v>
      </c>
      <c r="AM13" s="338"/>
      <c r="AN13" s="338">
        <f>T99</f>
        <v>18.633499999999998</v>
      </c>
      <c r="AO13" s="338">
        <f>U99</f>
        <v>6.5699999999999994</v>
      </c>
      <c r="AP13" s="338">
        <f>R100</f>
        <v>41.743549999999999</v>
      </c>
      <c r="AQ13" s="338">
        <f>T100</f>
        <v>25.203499999999998</v>
      </c>
    </row>
    <row r="14" spans="1:43">
      <c r="C14" s="471">
        <f>C13+D13</f>
        <v>5.5785000000000009</v>
      </c>
      <c r="D14" s="473"/>
      <c r="E14" s="471">
        <f>E13+F13</f>
        <v>3.9449999999999998</v>
      </c>
      <c r="F14" s="473"/>
      <c r="H14" s="471">
        <f>H13+I13</f>
        <v>16.335999999999999</v>
      </c>
      <c r="I14" s="471"/>
      <c r="J14" s="471">
        <f>J13+K13</f>
        <v>11.620000000000001</v>
      </c>
      <c r="K14" s="471"/>
      <c r="L14" s="314"/>
      <c r="M14" s="471">
        <f>M13+N13</f>
        <v>17.311</v>
      </c>
      <c r="N14" s="471"/>
      <c r="O14" s="471">
        <f>O13+P13</f>
        <v>12.370000000000001</v>
      </c>
      <c r="P14" s="471"/>
      <c r="Q14" s="314"/>
      <c r="R14" s="471">
        <f>R13+S13</f>
        <v>17.311</v>
      </c>
      <c r="S14" s="471"/>
      <c r="T14" s="471">
        <f>T13+U13</f>
        <v>12.370000000000001</v>
      </c>
      <c r="U14" s="471"/>
      <c r="X14" s="335" t="s">
        <v>337</v>
      </c>
      <c r="Y14" s="338">
        <f>E111</f>
        <v>23.794499999999999</v>
      </c>
      <c r="Z14" s="338">
        <f>F111</f>
        <v>2.97</v>
      </c>
      <c r="AA14" s="338">
        <f>C112</f>
        <v>45.782850000000003</v>
      </c>
      <c r="AB14" s="338">
        <f>E112</f>
        <v>26.764499999999998</v>
      </c>
      <c r="AC14" s="160"/>
      <c r="AD14" s="338">
        <f>J111</f>
        <v>23.200499999999998</v>
      </c>
      <c r="AE14" s="338">
        <f>K111</f>
        <v>8.91</v>
      </c>
      <c r="AF14" s="338">
        <f>H112</f>
        <v>53.920650000000002</v>
      </c>
      <c r="AG14" s="338">
        <f>J112</f>
        <v>32.110500000000002</v>
      </c>
      <c r="AH14" s="160"/>
      <c r="AI14" s="338">
        <f>O111</f>
        <v>23.950499999999998</v>
      </c>
      <c r="AJ14" s="338">
        <f>P111</f>
        <v>8.91</v>
      </c>
      <c r="AK14" s="338">
        <f>M112</f>
        <v>54.895650000000003</v>
      </c>
      <c r="AL14" s="338">
        <f>O112</f>
        <v>32.860500000000002</v>
      </c>
      <c r="AM14" s="338"/>
      <c r="AN14" s="338">
        <f>T111</f>
        <v>23.950499999999998</v>
      </c>
      <c r="AO14" s="338">
        <f>U111</f>
        <v>8.91</v>
      </c>
      <c r="AP14" s="338">
        <f>R112</f>
        <v>54.895650000000003</v>
      </c>
      <c r="AQ14" s="338">
        <f>T112</f>
        <v>32.860500000000002</v>
      </c>
    </row>
    <row r="15" spans="1:43">
      <c r="C15" s="304"/>
      <c r="D15" s="305"/>
      <c r="E15" s="304"/>
      <c r="F15" s="305"/>
      <c r="I15" s="304"/>
      <c r="J15" s="305"/>
      <c r="K15" s="304"/>
      <c r="R15" s="305"/>
      <c r="U15" s="304"/>
      <c r="V15" s="304"/>
      <c r="W15" s="304"/>
      <c r="X15" s="335" t="s">
        <v>338</v>
      </c>
      <c r="Y15" s="338">
        <f>E124</f>
        <v>28.63210655737705</v>
      </c>
      <c r="Z15" s="338">
        <f>F124</f>
        <v>2.9099999999999997</v>
      </c>
      <c r="AA15" s="338">
        <f>C125</f>
        <v>51.771738524590162</v>
      </c>
      <c r="AB15" s="338">
        <f>E125</f>
        <v>31.54210655737705</v>
      </c>
      <c r="AC15" s="160"/>
      <c r="AD15" s="338">
        <f>J124</f>
        <v>28.050106557377049</v>
      </c>
      <c r="AE15" s="338">
        <f>K124</f>
        <v>8.7299999999999986</v>
      </c>
      <c r="AF15" s="338">
        <f>H125</f>
        <v>59.745138524590161</v>
      </c>
      <c r="AG15" s="338">
        <f>J125</f>
        <v>36.780106557377046</v>
      </c>
      <c r="AH15" s="160"/>
      <c r="AI15" s="338">
        <f>O124</f>
        <v>28.800106557377049</v>
      </c>
      <c r="AJ15" s="338">
        <f>P124</f>
        <v>8.7299999999999986</v>
      </c>
      <c r="AK15" s="338">
        <f>M125</f>
        <v>60.720138524590169</v>
      </c>
      <c r="AL15" s="338">
        <f>O125</f>
        <v>37.530106557377046</v>
      </c>
      <c r="AM15" s="338"/>
      <c r="AN15" s="338">
        <f>T124</f>
        <v>28.800106557377049</v>
      </c>
      <c r="AO15" s="338">
        <f>U124</f>
        <v>8.7299999999999986</v>
      </c>
      <c r="AP15" s="338">
        <f>R125</f>
        <v>60.720138524590169</v>
      </c>
      <c r="AQ15" s="338">
        <f>T125</f>
        <v>37.530106557377046</v>
      </c>
    </row>
    <row r="16" spans="1:43">
      <c r="A16" s="433" t="s">
        <v>287</v>
      </c>
      <c r="B16" s="142"/>
      <c r="C16" s="434" t="s">
        <v>293</v>
      </c>
      <c r="D16" s="142"/>
      <c r="E16" s="142"/>
      <c r="F16" s="142"/>
      <c r="G16" s="142"/>
      <c r="H16" s="434" t="s">
        <v>303</v>
      </c>
      <c r="I16" s="142"/>
      <c r="J16" s="142"/>
      <c r="K16" s="142"/>
      <c r="L16" s="142"/>
      <c r="M16" s="434" t="s">
        <v>331</v>
      </c>
      <c r="N16" s="142"/>
      <c r="O16" s="142"/>
      <c r="P16" s="142"/>
      <c r="Q16" s="142"/>
      <c r="R16" s="434" t="s">
        <v>330</v>
      </c>
      <c r="S16" s="142"/>
      <c r="T16" s="142"/>
      <c r="U16" s="142"/>
      <c r="X16" s="335" t="s">
        <v>341</v>
      </c>
      <c r="Y16" s="338">
        <f>E137</f>
        <v>35.973503746536437</v>
      </c>
      <c r="Z16" s="338">
        <f>F137</f>
        <v>6.3780000000000001</v>
      </c>
      <c r="AA16" s="338">
        <f>C138</f>
        <v>67.435554870497384</v>
      </c>
      <c r="AB16" s="338">
        <f>E138</f>
        <v>42.351503746536437</v>
      </c>
      <c r="AC16" s="160"/>
      <c r="AD16" s="338">
        <f>J137</f>
        <v>31.683613502633996</v>
      </c>
      <c r="AE16" s="338">
        <f>K137</f>
        <v>10.157999999999999</v>
      </c>
      <c r="AF16" s="338">
        <f>H138</f>
        <v>67.528697553424209</v>
      </c>
      <c r="AG16" s="338">
        <f>J138</f>
        <v>41.841613502633997</v>
      </c>
      <c r="AH16" s="160"/>
      <c r="AI16" s="338">
        <f>O137</f>
        <v>32.433613502633996</v>
      </c>
      <c r="AJ16" s="338">
        <f>P137</f>
        <v>10.157999999999999</v>
      </c>
      <c r="AK16" s="338">
        <f>M138</f>
        <v>68.503697553424203</v>
      </c>
      <c r="AL16" s="338">
        <f>O138</f>
        <v>42.591613502633997</v>
      </c>
      <c r="AM16" s="338"/>
      <c r="AN16" s="338">
        <f>T137</f>
        <v>32.433613502633996</v>
      </c>
      <c r="AO16" s="338">
        <f>U137</f>
        <v>10.157999999999999</v>
      </c>
      <c r="AP16" s="338">
        <f>R138</f>
        <v>68.503697553424203</v>
      </c>
      <c r="AQ16" s="338">
        <f>T138</f>
        <v>42.591613502633997</v>
      </c>
    </row>
    <row r="17" spans="1:43" ht="18.75">
      <c r="A17" s="335" t="s">
        <v>332</v>
      </c>
      <c r="B17" s="281"/>
      <c r="C17" s="435" t="s">
        <v>304</v>
      </c>
      <c r="D17" s="435" t="s">
        <v>305</v>
      </c>
      <c r="E17" s="435" t="s">
        <v>306</v>
      </c>
      <c r="F17" s="436" t="s">
        <v>307</v>
      </c>
      <c r="G17" s="12"/>
      <c r="H17" s="435" t="s">
        <v>304</v>
      </c>
      <c r="I17" s="435" t="s">
        <v>305</v>
      </c>
      <c r="J17" s="435" t="s">
        <v>306</v>
      </c>
      <c r="K17" s="436" t="s">
        <v>307</v>
      </c>
      <c r="L17" s="281"/>
      <c r="M17" s="435" t="s">
        <v>304</v>
      </c>
      <c r="N17" s="435" t="s">
        <v>305</v>
      </c>
      <c r="O17" s="435" t="s">
        <v>306</v>
      </c>
      <c r="P17" s="436" t="s">
        <v>307</v>
      </c>
      <c r="Q17" s="281"/>
      <c r="R17" s="435" t="s">
        <v>304</v>
      </c>
      <c r="S17" s="435" t="s">
        <v>305</v>
      </c>
      <c r="T17" s="435" t="s">
        <v>306</v>
      </c>
      <c r="U17" s="436" t="s">
        <v>307</v>
      </c>
      <c r="X17" s="303" t="s">
        <v>342</v>
      </c>
      <c r="Y17" s="310">
        <f>E150</f>
        <v>15.00775</v>
      </c>
      <c r="Z17" s="310">
        <f>F150</f>
        <v>1.365</v>
      </c>
      <c r="AA17" s="310">
        <f>C151</f>
        <v>27.460075</v>
      </c>
      <c r="AB17" s="310">
        <f>E151</f>
        <v>16.37275</v>
      </c>
      <c r="AC17" s="311"/>
      <c r="AD17" s="310">
        <f>J150</f>
        <v>23.150749999999999</v>
      </c>
      <c r="AE17" s="310">
        <f>K150</f>
        <v>7.6949999999999994</v>
      </c>
      <c r="AF17" s="310">
        <f>H151</f>
        <v>50.015975000000005</v>
      </c>
      <c r="AG17" s="310">
        <f>J151</f>
        <v>30.845749999999999</v>
      </c>
      <c r="AH17" s="311"/>
      <c r="AI17" s="310">
        <f>O150</f>
        <v>23.900749999999999</v>
      </c>
      <c r="AJ17" s="310">
        <f>P150</f>
        <v>7.6949999999999994</v>
      </c>
      <c r="AK17" s="310">
        <f>M151</f>
        <v>50.990975000000006</v>
      </c>
      <c r="AL17" s="310">
        <f>O151</f>
        <v>31.595749999999999</v>
      </c>
      <c r="AM17" s="304"/>
      <c r="AN17" s="310">
        <f>T150</f>
        <v>23.900749999999999</v>
      </c>
      <c r="AO17" s="310">
        <f>U150</f>
        <v>7.6949999999999994</v>
      </c>
      <c r="AP17" s="310">
        <f>R151</f>
        <v>50.990975000000006</v>
      </c>
      <c r="AQ17" s="310">
        <f>T151</f>
        <v>31.595749999999999</v>
      </c>
    </row>
    <row r="18" spans="1:43" ht="15.75">
      <c r="A18" s="335"/>
      <c r="B18" s="12"/>
      <c r="C18" s="435"/>
      <c r="D18" s="435"/>
      <c r="E18" s="435"/>
      <c r="F18" s="436"/>
      <c r="G18" s="12"/>
      <c r="H18" s="435"/>
      <c r="I18" s="435"/>
      <c r="J18" s="435"/>
      <c r="K18" s="436"/>
      <c r="L18" s="281"/>
      <c r="M18" s="435"/>
      <c r="N18" s="435"/>
      <c r="O18" s="435"/>
      <c r="P18" s="436"/>
      <c r="Q18" s="281"/>
      <c r="R18" s="435"/>
      <c r="S18" s="435"/>
      <c r="T18" s="435"/>
      <c r="U18" s="436"/>
      <c r="X18" s="303" t="s">
        <v>343</v>
      </c>
      <c r="Y18" s="310">
        <f>E162</f>
        <v>14.501249999999999</v>
      </c>
      <c r="Z18" s="310">
        <f>F162</f>
        <v>1.575</v>
      </c>
      <c r="AA18" s="310">
        <f>C163</f>
        <v>26.951625</v>
      </c>
      <c r="AB18" s="310">
        <f>E163</f>
        <v>16.076249999999998</v>
      </c>
      <c r="AC18" s="311"/>
      <c r="AD18" s="310">
        <f>J162</f>
        <v>18.83925</v>
      </c>
      <c r="AE18" s="310">
        <f>K162</f>
        <v>4.7249999999999996</v>
      </c>
      <c r="AF18" s="310">
        <f>H163</f>
        <v>37.091025000000002</v>
      </c>
      <c r="AG18" s="310">
        <f>J163</f>
        <v>23.564250000000001</v>
      </c>
      <c r="AH18" s="311"/>
      <c r="AI18" s="310">
        <f>O162</f>
        <v>19.58925</v>
      </c>
      <c r="AJ18" s="310">
        <f>P162</f>
        <v>4.7249999999999996</v>
      </c>
      <c r="AK18" s="310">
        <f>M163</f>
        <v>38.066025000000003</v>
      </c>
      <c r="AL18" s="310">
        <f>O163</f>
        <v>24.314250000000001</v>
      </c>
      <c r="AM18" s="304"/>
      <c r="AN18" s="310">
        <f>T162</f>
        <v>19.58925</v>
      </c>
      <c r="AO18" s="310">
        <f>U162</f>
        <v>4.7249999999999996</v>
      </c>
      <c r="AP18" s="310">
        <f>R163</f>
        <v>38.066025000000003</v>
      </c>
      <c r="AQ18" s="310">
        <f>T163</f>
        <v>24.314250000000001</v>
      </c>
    </row>
    <row r="19" spans="1:43">
      <c r="A19" s="437" t="s">
        <v>288</v>
      </c>
      <c r="B19" s="160">
        <f>4.6/2</f>
        <v>2.2999999999999998</v>
      </c>
      <c r="C19" s="338">
        <f>IF(B19="","",B19*'C.U. tab. riassuntiva'!$G$7)</f>
        <v>12.587899999999999</v>
      </c>
      <c r="D19" s="338">
        <f>IF(B19="","",B19*'C.U. tab. riassuntiva'!$H$7)</f>
        <v>6.8999999999999995</v>
      </c>
      <c r="E19" s="338">
        <f>IF(B19="","",B19*'C.U. tab. riassuntiva'!$I$7)</f>
        <v>9.6829999999999998</v>
      </c>
      <c r="F19" s="338">
        <f>IF(B19="","",B19*'C.U. tab. riassuntiva'!$J$7)</f>
        <v>1.38</v>
      </c>
      <c r="G19" s="160">
        <f>4.6/2</f>
        <v>2.2999999999999998</v>
      </c>
      <c r="H19" s="338">
        <f>IF(G19="","",G19*'C.U. tab. riassuntiva'!$G$4)</f>
        <v>12.229099999999999</v>
      </c>
      <c r="I19" s="338">
        <f>IF(G19="","",G19*'C.U. tab. riassuntiva'!$H$4)</f>
        <v>11.04</v>
      </c>
      <c r="J19" s="338">
        <f>IF(G19="","",G19*'C.U. tab. riassuntiva'!$I$4)</f>
        <v>9.4069999999999983</v>
      </c>
      <c r="K19" s="338">
        <f>IF(G19="","",G19*'C.U. tab. riassuntiva'!$J$4)</f>
        <v>4.1399999999999997</v>
      </c>
      <c r="L19" s="24">
        <f>4.6/2</f>
        <v>2.2999999999999998</v>
      </c>
      <c r="M19" s="338">
        <f>IF(L19="","",L19*'C.U. tab. riassuntiva'!$G$4)</f>
        <v>12.229099999999999</v>
      </c>
      <c r="N19" s="338">
        <f>IF(L19="","",L19*'C.U. tab. riassuntiva'!$H$4)</f>
        <v>11.04</v>
      </c>
      <c r="O19" s="338">
        <f>IF(L19="","",L19*'C.U. tab. riassuntiva'!$I$4)</f>
        <v>9.4069999999999983</v>
      </c>
      <c r="P19" s="338">
        <f>IF(L19="","",L19*'C.U. tab. riassuntiva'!$J$4)</f>
        <v>4.1399999999999997</v>
      </c>
      <c r="Q19" s="24">
        <f>4.6/2</f>
        <v>2.2999999999999998</v>
      </c>
      <c r="R19" s="338">
        <f>IF(Q19="","",Q19*'C.U. tab. riassuntiva'!$G$4)</f>
        <v>12.229099999999999</v>
      </c>
      <c r="S19" s="338">
        <f>IF(Q19="","",Q19*'C.U. tab. riassuntiva'!$H$4)</f>
        <v>11.04</v>
      </c>
      <c r="T19" s="338">
        <f>IF(Q19="","",Q19*'C.U. tab. riassuntiva'!$I$4)</f>
        <v>9.4069999999999983</v>
      </c>
      <c r="U19" s="338">
        <f>IF(Q19="","",Q19*'C.U. tab. riassuntiva'!$J$4)</f>
        <v>4.1399999999999997</v>
      </c>
      <c r="X19" s="335" t="s">
        <v>344</v>
      </c>
      <c r="Y19" s="310">
        <f>E175</f>
        <v>10.8767</v>
      </c>
      <c r="Z19" s="310">
        <f>F175</f>
        <v>0.76200000000000001</v>
      </c>
      <c r="AA19" s="310">
        <f>C176</f>
        <v>19.074710000000003</v>
      </c>
      <c r="AB19" s="310">
        <f>E176</f>
        <v>11.6387</v>
      </c>
      <c r="AC19" s="311"/>
      <c r="AD19" s="310">
        <f>J175</f>
        <v>19.1403</v>
      </c>
      <c r="AE19" s="310">
        <f>K175</f>
        <v>5.8859999999999992</v>
      </c>
      <c r="AF19" s="310">
        <f>H176</f>
        <v>39.978390000000005</v>
      </c>
      <c r="AG19" s="310">
        <f>J176</f>
        <v>25.026299999999999</v>
      </c>
      <c r="AH19" s="311"/>
      <c r="AI19" s="310">
        <f>O175</f>
        <v>19.1403</v>
      </c>
      <c r="AJ19" s="310">
        <f>P175</f>
        <v>5.8859999999999992</v>
      </c>
      <c r="AK19" s="310">
        <f>M176</f>
        <v>39.978390000000005</v>
      </c>
      <c r="AL19" s="310">
        <f>O176</f>
        <v>25.026299999999999</v>
      </c>
      <c r="AM19" s="304"/>
      <c r="AN19" s="310">
        <f>T175</f>
        <v>19.1403</v>
      </c>
      <c r="AO19" s="310">
        <f>U175</f>
        <v>5.8859999999999992</v>
      </c>
      <c r="AP19" s="310">
        <f>R176</f>
        <v>39.978390000000005</v>
      </c>
      <c r="AQ19" s="310">
        <f>T176</f>
        <v>25.026299999999999</v>
      </c>
    </row>
    <row r="20" spans="1:43">
      <c r="A20" s="299" t="s">
        <v>289</v>
      </c>
      <c r="B20" s="304">
        <f>0.3*3.4/1.95+G20</f>
        <v>4.0403183023872682</v>
      </c>
      <c r="C20" s="324">
        <f>IF(B20="","",B20*'C.U. tab. riassuntiva'!$G$9)</f>
        <v>8.6664827586206901</v>
      </c>
      <c r="D20" s="324">
        <f>IF(B20="","",B20*'C.U. tab. riassuntiva'!$H$9)</f>
        <v>3.0302387267904511</v>
      </c>
      <c r="E20" s="324">
        <f>IF(B20="","",B20*'C.U. tab. riassuntiva'!$I$9)</f>
        <v>6.6665251989389924</v>
      </c>
      <c r="F20" s="324">
        <f>IF(B20="","",B20*'C.U. tab. riassuntiva'!$J$9)</f>
        <v>0</v>
      </c>
      <c r="G20" s="304">
        <f>1.5*3.4/1.45</f>
        <v>3.5172413793103448</v>
      </c>
      <c r="H20" s="304">
        <f>IF(G20="","",G20*'C.U. tab. riassuntiva'!$G$10)</f>
        <v>19.249862068965516</v>
      </c>
      <c r="I20" s="304">
        <f>IF(G20="","",G20*'C.U. tab. riassuntiva'!$H$10)</f>
        <v>21.103448275862068</v>
      </c>
      <c r="J20" s="304">
        <f>IF(G20="","",G20*'C.U. tab. riassuntiva'!$I$10)</f>
        <v>14.807586206896552</v>
      </c>
      <c r="K20" s="304">
        <f>IF(G20="","",G20*'C.U. tab. riassuntiva'!$J$10)</f>
        <v>8.4413793103448267</v>
      </c>
      <c r="L20" s="23">
        <f>1.5*3.4/1.45</f>
        <v>3.5172413793103448</v>
      </c>
      <c r="M20" s="304">
        <f>IF(L20="","",L20*'C.U. tab. riassuntiva'!$G$10)</f>
        <v>19.249862068965516</v>
      </c>
      <c r="N20" s="304">
        <f>IF(L20="","",L20*'C.U. tab. riassuntiva'!$H$10)</f>
        <v>21.103448275862068</v>
      </c>
      <c r="O20" s="304">
        <f>IF(L20="","",L20*'C.U. tab. riassuntiva'!$I$10)</f>
        <v>14.807586206896552</v>
      </c>
      <c r="P20" s="304">
        <f>IF(L20="","",L20*'C.U. tab. riassuntiva'!$J$10)</f>
        <v>8.4413793103448267</v>
      </c>
      <c r="Q20" s="23"/>
      <c r="R20" s="304" t="str">
        <f>IF(Q20="","",Q20*'C.U. tab. riassuntiva'!$G$10)</f>
        <v/>
      </c>
      <c r="S20" s="304" t="str">
        <f>IF(Q20="","",Q20*'C.U. tab. riassuntiva'!$H$10)</f>
        <v/>
      </c>
      <c r="T20" s="304" t="str">
        <f>IF(Q20="","",Q20*'C.U. tab. riassuntiva'!$I$10)</f>
        <v/>
      </c>
      <c r="U20" s="304" t="str">
        <f>IF(Q20="","",Q20*'C.U. tab. riassuntiva'!$J$10)</f>
        <v/>
      </c>
      <c r="X20" s="315" t="s">
        <v>345</v>
      </c>
      <c r="Y20" s="336">
        <f>E187</f>
        <v>14.481499999999999</v>
      </c>
      <c r="Z20" s="336">
        <f>F187</f>
        <v>1.2899999999999998</v>
      </c>
      <c r="AA20" s="336">
        <f>C188</f>
        <v>26.400949999999998</v>
      </c>
      <c r="AB20" s="336">
        <f>E188</f>
        <v>15.771499999999998</v>
      </c>
      <c r="AC20" s="337"/>
      <c r="AD20" s="336">
        <f>J187</f>
        <v>22.639499999999998</v>
      </c>
      <c r="AE20" s="336">
        <f>K187</f>
        <v>7.4699999999999989</v>
      </c>
      <c r="AF20" s="336">
        <f>H188</f>
        <v>48.751350000000002</v>
      </c>
      <c r="AG20" s="336">
        <f>J188</f>
        <v>30.109499999999997</v>
      </c>
      <c r="AH20" s="337"/>
      <c r="AI20" s="336">
        <f>O187</f>
        <v>23.389499999999998</v>
      </c>
      <c r="AJ20" s="336">
        <f>P187</f>
        <v>7.4699999999999989</v>
      </c>
      <c r="AK20" s="336">
        <f>M188</f>
        <v>49.726350000000004</v>
      </c>
      <c r="AL20" s="336">
        <f>O188</f>
        <v>30.859499999999997</v>
      </c>
      <c r="AM20" s="336"/>
      <c r="AN20" s="336">
        <f>T187</f>
        <v>23.961499999999997</v>
      </c>
      <c r="AO20" s="336">
        <f>U187</f>
        <v>7.4699999999999989</v>
      </c>
      <c r="AP20" s="336">
        <f>R188</f>
        <v>50.469950000000004</v>
      </c>
      <c r="AQ20" s="336">
        <f>T188</f>
        <v>31.431499999999996</v>
      </c>
    </row>
    <row r="21" spans="1:43">
      <c r="A21" s="299" t="s">
        <v>290</v>
      </c>
      <c r="C21" s="324" t="str">
        <f>IF(B21="","",B21*'C.U. tab. riassuntiva'!$G$11)</f>
        <v/>
      </c>
      <c r="D21" s="324" t="str">
        <f>IF(B21="","",B21*'C.U. tab. riassuntiva'!$H$11)</f>
        <v/>
      </c>
      <c r="E21" s="324" t="str">
        <f>IF(B21="","",B21*'C.U. tab. riassuntiva'!$I$11)</f>
        <v/>
      </c>
      <c r="F21" s="324" t="str">
        <f>IF(B21="","",B21*'C.U. tab. riassuntiva'!$J$11)</f>
        <v/>
      </c>
      <c r="H21" s="304" t="str">
        <f>IF(G21="","",G21*'C.U. tab. riassuntiva'!$G$11)</f>
        <v/>
      </c>
      <c r="I21" s="304" t="str">
        <f>IF(G21="","",G21*'C.U. tab. riassuntiva'!$H$11)</f>
        <v/>
      </c>
      <c r="J21" s="304" t="str">
        <f>IF(G21="","",G21*'C.U. tab. riassuntiva'!$I$11)</f>
        <v/>
      </c>
      <c r="K21" s="304" t="str">
        <f>IF(G21="","",G21*'C.U. tab. riassuntiva'!$J$11)</f>
        <v/>
      </c>
      <c r="L21" s="62"/>
      <c r="M21" s="304" t="str">
        <f>IF(L21="","",L21*'C.U. tab. riassuntiva'!$G$11)</f>
        <v/>
      </c>
      <c r="N21" s="304" t="str">
        <f>IF(L21="","",L21*'C.U. tab. riassuntiva'!$H$11)</f>
        <v/>
      </c>
      <c r="O21" s="304" t="str">
        <f>IF(L21="","",L21*'C.U. tab. riassuntiva'!$I$11)</f>
        <v/>
      </c>
      <c r="P21" s="304" t="str">
        <f>IF(L21="","",L21*'C.U. tab. riassuntiva'!$J$11)</f>
        <v/>
      </c>
      <c r="Q21" s="62"/>
      <c r="R21" s="304" t="str">
        <f>IF(Q21="","",Q21*'C.U. tab. riassuntiva'!$G$11)</f>
        <v/>
      </c>
      <c r="S21" s="304" t="str">
        <f>IF(Q21="","",Q21*'C.U. tab. riassuntiva'!$H$11)</f>
        <v/>
      </c>
      <c r="T21" s="304" t="str">
        <f>IF(Q21="","",Q21*'C.U. tab. riassuntiva'!$I$11)</f>
        <v/>
      </c>
      <c r="U21" s="304" t="str">
        <f>IF(Q21="","",Q21*'C.U. tab. riassuntiva'!$J$11)</f>
        <v/>
      </c>
      <c r="X21" s="339" t="s">
        <v>346</v>
      </c>
      <c r="Y21" s="340">
        <f>E200</f>
        <v>12.198</v>
      </c>
      <c r="Z21" s="340">
        <f>F200</f>
        <v>0.48</v>
      </c>
      <c r="AA21" s="340">
        <f>C201</f>
        <v>20.882400000000001</v>
      </c>
      <c r="AB21" s="340">
        <f>E201</f>
        <v>12.678000000000001</v>
      </c>
      <c r="AC21" s="341"/>
      <c r="AD21" s="340">
        <f>J200</f>
        <v>21.061999999999998</v>
      </c>
      <c r="AE21" s="340">
        <f>K200</f>
        <v>9.84</v>
      </c>
      <c r="AF21" s="340">
        <f>H201</f>
        <v>52.220600000000005</v>
      </c>
      <c r="AG21" s="340">
        <f>J201</f>
        <v>30.901999999999997</v>
      </c>
      <c r="AH21" s="341"/>
      <c r="AI21" s="340">
        <f>O200</f>
        <v>21.061999999999998</v>
      </c>
      <c r="AJ21" s="340">
        <f>P200</f>
        <v>9.84</v>
      </c>
      <c r="AK21" s="340">
        <f>M201</f>
        <v>52.220600000000005</v>
      </c>
      <c r="AL21" s="340">
        <f>O201</f>
        <v>30.901999999999997</v>
      </c>
      <c r="AM21" s="340"/>
      <c r="AN21" s="340">
        <f>T200</f>
        <v>21.061999999999998</v>
      </c>
      <c r="AO21" s="340">
        <f>U200</f>
        <v>9.84</v>
      </c>
      <c r="AP21" s="340">
        <f>R201</f>
        <v>52.220600000000005</v>
      </c>
      <c r="AQ21" s="340">
        <f>T201</f>
        <v>30.901999999999997</v>
      </c>
    </row>
    <row r="22" spans="1:43">
      <c r="A22" s="299" t="s">
        <v>291</v>
      </c>
      <c r="B22" s="305">
        <v>1</v>
      </c>
      <c r="C22" s="324">
        <f>IF(B22="","",B22*'C.U. tab. riassuntiva'!$G$12)</f>
        <v>3.8415000000000004</v>
      </c>
      <c r="D22" s="324"/>
      <c r="E22" s="324">
        <f>IF(B22="","",B22*'C.U. tab. riassuntiva'!$I$12)</f>
        <v>2.9550000000000001</v>
      </c>
      <c r="F22" s="324"/>
      <c r="G22" s="305">
        <v>1</v>
      </c>
      <c r="H22" s="304">
        <f>IF(G22="","",G22*'C.U. tab. riassuntiva'!$G$12)</f>
        <v>3.8415000000000004</v>
      </c>
      <c r="I22" s="304"/>
      <c r="J22" s="304">
        <f>IF(G22="","",G22*'C.U. tab. riassuntiva'!$I$12)</f>
        <v>2.9550000000000001</v>
      </c>
      <c r="K22" s="304"/>
      <c r="L22" s="3">
        <v>1</v>
      </c>
      <c r="M22" s="304">
        <f>IF(L22="","",L22*'C.U. tab. riassuntiva'!$G$13)</f>
        <v>4.8165000000000004</v>
      </c>
      <c r="N22" s="304"/>
      <c r="O22" s="304">
        <f>IF(L22="","",L22*'C.U. tab. riassuntiva'!$I$13)</f>
        <v>3.7050000000000001</v>
      </c>
      <c r="P22" s="304"/>
      <c r="Q22" s="3">
        <v>1</v>
      </c>
      <c r="R22" s="304">
        <f>IF(Q22="","",Q22*'C.U. tab. riassuntiva'!$G$13)</f>
        <v>4.8165000000000004</v>
      </c>
      <c r="S22" s="304"/>
      <c r="T22" s="304">
        <f>IF(Q22="","",Q22*'C.U. tab. riassuntiva'!$I$13)</f>
        <v>3.7050000000000001</v>
      </c>
      <c r="U22" s="304"/>
      <c r="X22" s="303" t="s">
        <v>347</v>
      </c>
      <c r="Y22" s="310">
        <f>E212</f>
        <v>9.6650000000000009</v>
      </c>
      <c r="Z22" s="310">
        <f>F212</f>
        <v>0</v>
      </c>
      <c r="AA22" s="310">
        <f>C213</f>
        <v>13.014500000000002</v>
      </c>
      <c r="AB22" s="310">
        <f>E213</f>
        <v>9.6650000000000009</v>
      </c>
      <c r="AC22" s="311"/>
      <c r="AD22" s="310">
        <f>J212</f>
        <v>10.72</v>
      </c>
      <c r="AE22" s="310">
        <f>K212</f>
        <v>0.89999999999999991</v>
      </c>
      <c r="AF22" s="310">
        <f>H213</f>
        <v>16.335999999999999</v>
      </c>
      <c r="AG22" s="310">
        <f>J213</f>
        <v>11.620000000000001</v>
      </c>
      <c r="AH22" s="311"/>
      <c r="AI22" s="310">
        <f>O212</f>
        <v>11.47</v>
      </c>
      <c r="AJ22" s="310">
        <f>P212</f>
        <v>0.89999999999999991</v>
      </c>
      <c r="AK22" s="310">
        <f>M213</f>
        <v>17.311</v>
      </c>
      <c r="AL22" s="310">
        <f>O213</f>
        <v>12.370000000000001</v>
      </c>
      <c r="AM22" s="304"/>
      <c r="AN22" s="310">
        <f>T212</f>
        <v>11.47</v>
      </c>
      <c r="AO22" s="310">
        <f>U212</f>
        <v>0.89999999999999991</v>
      </c>
      <c r="AP22" s="310">
        <f>R213</f>
        <v>17.311</v>
      </c>
      <c r="AQ22" s="310">
        <f>T213</f>
        <v>12.370000000000001</v>
      </c>
    </row>
    <row r="23" spans="1:43">
      <c r="A23" s="299" t="s">
        <v>292</v>
      </c>
      <c r="C23" s="324" t="str">
        <f>IF(B23="","",B23*'C.U. tab. riassuntiva'!$G$14)</f>
        <v/>
      </c>
      <c r="D23" s="324"/>
      <c r="E23" s="324" t="str">
        <f>IF(B23="","",B23*'C.U. tab. riassuntiva'!$I$14)</f>
        <v/>
      </c>
      <c r="F23" s="324"/>
      <c r="H23" s="304" t="str">
        <f>IF(G23="","",G23*'C.U. tab. riassuntiva'!$G$14)</f>
        <v/>
      </c>
      <c r="I23" s="304"/>
      <c r="J23" s="304" t="str">
        <f>IF(G23="","",G23*'C.U. tab. riassuntiva'!$I$14)</f>
        <v/>
      </c>
      <c r="K23" s="304"/>
      <c r="L23" s="62"/>
      <c r="M23" s="304" t="str">
        <f>IF(L23="","",L23*'C.U. tab. riassuntiva'!$G$14)</f>
        <v/>
      </c>
      <c r="N23" s="304"/>
      <c r="O23" s="304" t="str">
        <f>IF(L23="","",L23*'C.U. tab. riassuntiva'!$I$14)</f>
        <v/>
      </c>
      <c r="P23" s="304"/>
      <c r="Q23" s="62"/>
      <c r="R23" s="304" t="str">
        <f>IF(Q23="","",Q23*'C.U. tab. riassuntiva'!$G$14)</f>
        <v/>
      </c>
      <c r="S23" s="304"/>
      <c r="T23" s="304" t="str">
        <f>IF(Q23="","",Q23*'C.U. tab. riassuntiva'!$I$14)</f>
        <v/>
      </c>
      <c r="U23" s="304"/>
      <c r="X23" s="303" t="s">
        <v>348</v>
      </c>
      <c r="Y23" s="310">
        <f>E225</f>
        <v>13.816799999999999</v>
      </c>
      <c r="Z23" s="310">
        <f>F225</f>
        <v>1.5479999999999998</v>
      </c>
      <c r="AA23" s="310">
        <f>C226</f>
        <v>25.701839999999997</v>
      </c>
      <c r="AB23" s="310">
        <f>E226</f>
        <v>15.364799999999999</v>
      </c>
      <c r="AC23" s="311"/>
      <c r="AD23" s="310">
        <f>J225</f>
        <v>13.507199999999997</v>
      </c>
      <c r="AE23" s="310">
        <f>K225</f>
        <v>4.6439999999999992</v>
      </c>
      <c r="AF23" s="310">
        <f>H226</f>
        <v>29.943359999999998</v>
      </c>
      <c r="AG23" s="310">
        <f>J226</f>
        <v>18.151199999999996</v>
      </c>
      <c r="AH23" s="311"/>
      <c r="AI23" s="310">
        <f>O225</f>
        <v>14.257199999999997</v>
      </c>
      <c r="AJ23" s="310">
        <f>P225</f>
        <v>4.6439999999999992</v>
      </c>
      <c r="AK23" s="310">
        <f>M226</f>
        <v>30.91836</v>
      </c>
      <c r="AL23" s="310">
        <f>O226</f>
        <v>18.901199999999996</v>
      </c>
      <c r="AM23" s="304"/>
      <c r="AN23" s="310">
        <f>T225</f>
        <v>14.257199999999997</v>
      </c>
      <c r="AO23" s="310">
        <f>U225</f>
        <v>4.6439999999999992</v>
      </c>
      <c r="AP23" s="310">
        <f>R226</f>
        <v>30.91836</v>
      </c>
      <c r="AQ23" s="310">
        <f>T226</f>
        <v>18.901199999999996</v>
      </c>
    </row>
    <row r="24" spans="1:43">
      <c r="A24" s="299" t="s">
        <v>15</v>
      </c>
      <c r="C24" s="77" t="str">
        <f>IF(B24="","",B24*'C.U. tab. riassuntiva'!$G$16)</f>
        <v/>
      </c>
      <c r="D24" s="77"/>
      <c r="E24" s="77" t="str">
        <f>IF(B24="","",B24*'C.U. tab. riassuntiva'!$I$16)</f>
        <v/>
      </c>
      <c r="F24" s="77"/>
      <c r="G24" s="305">
        <v>0.9</v>
      </c>
      <c r="H24" s="77">
        <f>IF(G24="","",G24*'C.U. tab. riassuntiva'!$G$16)</f>
        <v>6.692400000000001</v>
      </c>
      <c r="I24" s="77"/>
      <c r="J24" s="77">
        <f>IF(G24="","",G24*'C.U. tab. riassuntiva'!$I$16)</f>
        <v>5.1480000000000006</v>
      </c>
      <c r="K24" s="77"/>
      <c r="L24" s="3">
        <v>0.9</v>
      </c>
      <c r="M24" s="77">
        <f>IF(L24="","",L24*'C.U. tab. riassuntiva'!$G$16)</f>
        <v>6.692400000000001</v>
      </c>
      <c r="N24" s="77"/>
      <c r="O24" s="77">
        <f>IF(L24="","",L24*'C.U. tab. riassuntiva'!$I$16)</f>
        <v>5.1480000000000006</v>
      </c>
      <c r="P24" s="77"/>
      <c r="Q24" s="3">
        <v>0.9</v>
      </c>
      <c r="R24" s="77">
        <f>IF(Q24="","",Q24*'C.U. tab. riassuntiva'!$G$16)</f>
        <v>6.692400000000001</v>
      </c>
      <c r="S24" s="77"/>
      <c r="T24" s="77">
        <f>IF(Q24="","",Q24*'C.U. tab. riassuntiva'!$I$16)</f>
        <v>5.1480000000000006</v>
      </c>
      <c r="U24" s="77"/>
      <c r="X24" s="303" t="s">
        <v>349</v>
      </c>
      <c r="Y24" s="310">
        <f>E238</f>
        <v>16.021799999999999</v>
      </c>
      <c r="Z24" s="310">
        <f>F238</f>
        <v>1.8479999999999996</v>
      </c>
      <c r="AA24" s="310">
        <f>C239</f>
        <v>30.068339999999996</v>
      </c>
      <c r="AB24" s="310">
        <f>E239</f>
        <v>17.869799999999998</v>
      </c>
      <c r="AC24" s="311"/>
      <c r="AD24" s="310">
        <f>J238</f>
        <v>15.652199999999997</v>
      </c>
      <c r="AE24" s="310">
        <f>K238</f>
        <v>5.5439999999999987</v>
      </c>
      <c r="AF24" s="310">
        <f>H239</f>
        <v>35.131859999999996</v>
      </c>
      <c r="AG24" s="310">
        <f>J239</f>
        <v>21.196199999999997</v>
      </c>
      <c r="AH24" s="311"/>
      <c r="AI24" s="310">
        <f>O238</f>
        <v>15.652199999999997</v>
      </c>
      <c r="AJ24" s="310">
        <f>P238</f>
        <v>5.5439999999999987</v>
      </c>
      <c r="AK24" s="310">
        <f>M239</f>
        <v>35.131859999999996</v>
      </c>
      <c r="AL24" s="310">
        <f>O239</f>
        <v>21.196199999999997</v>
      </c>
      <c r="AM24" s="304"/>
      <c r="AN24" s="310">
        <f>T238</f>
        <v>15.652199999999997</v>
      </c>
      <c r="AO24" s="310">
        <f>U238</f>
        <v>5.5439999999999987</v>
      </c>
      <c r="AP24" s="310">
        <f>R239</f>
        <v>35.131859999999996</v>
      </c>
      <c r="AQ24" s="310">
        <f>T239</f>
        <v>21.196199999999997</v>
      </c>
    </row>
    <row r="25" spans="1:43">
      <c r="A25" s="299"/>
      <c r="C25" s="284">
        <f>SUM(C19:C24)</f>
        <v>25.095882758620689</v>
      </c>
      <c r="D25" s="284">
        <f>SUM(D19:D24)</f>
        <v>9.9302387267904511</v>
      </c>
      <c r="E25" s="284">
        <f>SUM(E19:E24)</f>
        <v>19.30452519893899</v>
      </c>
      <c r="F25" s="284">
        <f>SUM(F19:F24)</f>
        <v>1.38</v>
      </c>
      <c r="H25" s="284">
        <f>SUM(H19:H24)</f>
        <v>42.012862068965518</v>
      </c>
      <c r="I25" s="284">
        <f>SUM(I19:I24)</f>
        <v>32.14344827586207</v>
      </c>
      <c r="J25" s="284">
        <f>SUM(J19:J24)</f>
        <v>32.31758620689655</v>
      </c>
      <c r="K25" s="284">
        <f>SUM(K19:K24)</f>
        <v>12.581379310344825</v>
      </c>
      <c r="L25" s="62"/>
      <c r="M25" s="284">
        <f>SUM(M19:M24)</f>
        <v>42.987862068965512</v>
      </c>
      <c r="N25" s="284">
        <f>SUM(N19:N24)</f>
        <v>32.14344827586207</v>
      </c>
      <c r="O25" s="284">
        <f>SUM(O19:O24)</f>
        <v>33.06758620689655</v>
      </c>
      <c r="P25" s="284">
        <f>SUM(P19:P24)</f>
        <v>12.581379310344825</v>
      </c>
      <c r="Q25" s="62"/>
      <c r="R25" s="284">
        <f>SUM(R19:R24)</f>
        <v>23.738</v>
      </c>
      <c r="S25" s="284">
        <f>SUM(S19:S24)</f>
        <v>11.04</v>
      </c>
      <c r="T25" s="284">
        <f>SUM(T19:T24)</f>
        <v>18.259999999999998</v>
      </c>
      <c r="U25" s="284">
        <f>SUM(U19:U24)</f>
        <v>4.1399999999999997</v>
      </c>
      <c r="X25" s="303" t="s">
        <v>350</v>
      </c>
      <c r="Y25" s="310">
        <f>E250</f>
        <v>7.165</v>
      </c>
      <c r="Z25" s="310">
        <f>F250</f>
        <v>0.6</v>
      </c>
      <c r="AA25" s="310">
        <f>C251</f>
        <v>12.314500000000001</v>
      </c>
      <c r="AB25" s="310">
        <f>E251</f>
        <v>7.7649999999999997</v>
      </c>
      <c r="AC25" s="311"/>
      <c r="AD25" s="310">
        <f>J250</f>
        <v>7.0449999999999999</v>
      </c>
      <c r="AE25" s="310">
        <f>K250</f>
        <v>1.7999999999999998</v>
      </c>
      <c r="AF25" s="310">
        <f>H251</f>
        <v>13.958500000000001</v>
      </c>
      <c r="AG25" s="310">
        <f>J251</f>
        <v>8.8449999999999989</v>
      </c>
      <c r="AH25" s="311"/>
      <c r="AI25" s="310">
        <f>O250</f>
        <v>7.7949999999999999</v>
      </c>
      <c r="AJ25" s="310">
        <f>P250</f>
        <v>1.7999999999999998</v>
      </c>
      <c r="AK25" s="310">
        <f>M251</f>
        <v>14.933500000000002</v>
      </c>
      <c r="AL25" s="310">
        <f>O251</f>
        <v>9.5949999999999989</v>
      </c>
      <c r="AM25" s="304"/>
      <c r="AN25" s="310">
        <f>T250</f>
        <v>7.7949999999999999</v>
      </c>
      <c r="AO25" s="310">
        <f>U250</f>
        <v>1.7999999999999998</v>
      </c>
      <c r="AP25" s="310">
        <f>R251</f>
        <v>14.933500000000002</v>
      </c>
      <c r="AQ25" s="310">
        <f>T251</f>
        <v>9.5949999999999989</v>
      </c>
    </row>
    <row r="26" spans="1:43">
      <c r="A26" s="43"/>
      <c r="C26" s="471">
        <f>C25+D25</f>
        <v>35.026121485411139</v>
      </c>
      <c r="D26" s="473"/>
      <c r="E26" s="471">
        <f>E25+F25</f>
        <v>20.684525198938989</v>
      </c>
      <c r="F26" s="473"/>
      <c r="H26" s="471">
        <f>H25+I25</f>
        <v>74.156310344827588</v>
      </c>
      <c r="I26" s="471"/>
      <c r="J26" s="471">
        <f>J25+K25</f>
        <v>44.898965517241379</v>
      </c>
      <c r="K26" s="471"/>
      <c r="L26" s="314"/>
      <c r="M26" s="471">
        <f>M25+N25</f>
        <v>75.131310344827583</v>
      </c>
      <c r="N26" s="471"/>
      <c r="O26" s="471">
        <f>O25+P25</f>
        <v>45.648965517241379</v>
      </c>
      <c r="P26" s="471"/>
      <c r="Q26" s="314"/>
      <c r="R26" s="471">
        <f>R25+S25</f>
        <v>34.777999999999999</v>
      </c>
      <c r="S26" s="471"/>
      <c r="T26" s="471">
        <f>T25+U25</f>
        <v>22.4</v>
      </c>
      <c r="U26" s="471"/>
      <c r="X26" s="303" t="s">
        <v>353</v>
      </c>
      <c r="Y26" s="310">
        <f>E263</f>
        <v>7.2650000000000006</v>
      </c>
      <c r="Z26" s="310">
        <f>F263</f>
        <v>0.6</v>
      </c>
      <c r="AA26" s="310">
        <f>C264</f>
        <v>12.4445</v>
      </c>
      <c r="AB26" s="310">
        <f>E264</f>
        <v>7.8650000000000002</v>
      </c>
      <c r="AC26" s="311"/>
      <c r="AD26" s="310">
        <f>J263</f>
        <v>7.1449999999999996</v>
      </c>
      <c r="AE26" s="310">
        <f>K263</f>
        <v>1.7999999999999998</v>
      </c>
      <c r="AF26" s="310">
        <f>H264</f>
        <v>14.0885</v>
      </c>
      <c r="AG26" s="310">
        <f>J264</f>
        <v>8.9450000000000003</v>
      </c>
      <c r="AH26" s="311"/>
      <c r="AI26" s="310">
        <f>O263</f>
        <v>7.1449999999999996</v>
      </c>
      <c r="AJ26" s="310">
        <f>P263</f>
        <v>1.7999999999999998</v>
      </c>
      <c r="AK26" s="310">
        <f>M264</f>
        <v>14.0885</v>
      </c>
      <c r="AL26" s="310">
        <f>O264</f>
        <v>8.9450000000000003</v>
      </c>
      <c r="AM26" s="304"/>
      <c r="AN26" s="310">
        <f>T263</f>
        <v>7.1449999999999996</v>
      </c>
      <c r="AO26" s="310">
        <f>U263</f>
        <v>1.7999999999999998</v>
      </c>
      <c r="AP26" s="310">
        <f>R264</f>
        <v>14.0885</v>
      </c>
      <c r="AQ26" s="310">
        <f>T264</f>
        <v>8.9450000000000003</v>
      </c>
    </row>
    <row r="27" spans="1:4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X27" s="303" t="s">
        <v>352</v>
      </c>
      <c r="Y27" s="310">
        <f>E276</f>
        <v>7.165</v>
      </c>
      <c r="Z27" s="310">
        <f>F276</f>
        <v>0.6</v>
      </c>
      <c r="AA27" s="310">
        <f>C277</f>
        <v>12.314500000000001</v>
      </c>
      <c r="AB27" s="310">
        <f>E277</f>
        <v>7.7649999999999997</v>
      </c>
      <c r="AC27" s="311"/>
      <c r="AD27" s="310">
        <f>J276</f>
        <v>2.9550000000000001</v>
      </c>
      <c r="AE27" s="310">
        <f>K276</f>
        <v>0</v>
      </c>
      <c r="AF27" s="310">
        <f>H277</f>
        <v>3.8415000000000004</v>
      </c>
      <c r="AG27" s="310">
        <f>J277</f>
        <v>2.9550000000000001</v>
      </c>
      <c r="AH27" s="311"/>
      <c r="AI27" s="310">
        <f>O276</f>
        <v>3.7050000000000001</v>
      </c>
      <c r="AJ27" s="310">
        <f>P276</f>
        <v>0</v>
      </c>
      <c r="AK27" s="310">
        <f>M277</f>
        <v>4.8165000000000004</v>
      </c>
      <c r="AL27" s="310">
        <f>O277</f>
        <v>3.7050000000000001</v>
      </c>
      <c r="AM27" s="304"/>
      <c r="AN27" s="310">
        <f>T276</f>
        <v>7.7949999999999999</v>
      </c>
      <c r="AO27" s="310">
        <f>U276</f>
        <v>1.7999999999999998</v>
      </c>
      <c r="AP27" s="310">
        <f>R277</f>
        <v>14.933500000000002</v>
      </c>
      <c r="AQ27" s="310">
        <f>T277</f>
        <v>9.5949999999999989</v>
      </c>
    </row>
    <row r="28" spans="1:43">
      <c r="A28" s="272" t="s">
        <v>287</v>
      </c>
      <c r="C28" s="289" t="s">
        <v>293</v>
      </c>
      <c r="H28" s="289" t="s">
        <v>303</v>
      </c>
      <c r="M28" s="289" t="s">
        <v>331</v>
      </c>
      <c r="R28" s="289" t="s">
        <v>330</v>
      </c>
      <c r="X28" s="303" t="s">
        <v>354</v>
      </c>
      <c r="Y28" s="310">
        <f>E289</f>
        <v>9.636000000000001</v>
      </c>
      <c r="Z28" s="310">
        <f>F289</f>
        <v>0.3</v>
      </c>
      <c r="AA28" s="310">
        <f>C290</f>
        <v>14.026800000000001</v>
      </c>
      <c r="AB28" s="310">
        <f>E290</f>
        <v>9.9360000000000017</v>
      </c>
      <c r="AC28" s="311"/>
      <c r="AD28" s="310">
        <f>J289</f>
        <v>9.5760000000000005</v>
      </c>
      <c r="AE28" s="310">
        <f>K289</f>
        <v>0.89999999999999991</v>
      </c>
      <c r="AF28" s="310">
        <f>H290</f>
        <v>14.848800000000002</v>
      </c>
      <c r="AG28" s="310">
        <f>J290</f>
        <v>10.476000000000001</v>
      </c>
      <c r="AH28" s="311"/>
      <c r="AI28" s="310">
        <f>O289</f>
        <v>10.326000000000001</v>
      </c>
      <c r="AJ28" s="310">
        <f>P289</f>
        <v>0.89999999999999991</v>
      </c>
      <c r="AK28" s="310">
        <f>M290</f>
        <v>15.823800000000002</v>
      </c>
      <c r="AL28" s="310">
        <f>O290</f>
        <v>11.226000000000001</v>
      </c>
      <c r="AM28" s="304"/>
      <c r="AN28" s="310">
        <f>T289</f>
        <v>10.326000000000001</v>
      </c>
      <c r="AO28" s="310">
        <f>U289</f>
        <v>0.89999999999999991</v>
      </c>
      <c r="AP28" s="310">
        <f>R290</f>
        <v>15.823800000000002</v>
      </c>
      <c r="AQ28" s="310">
        <f>T290</f>
        <v>11.226000000000001</v>
      </c>
    </row>
    <row r="29" spans="1:43" ht="18.75">
      <c r="A29" s="303" t="s">
        <v>333</v>
      </c>
      <c r="B29" s="62"/>
      <c r="C29" s="285" t="s">
        <v>304</v>
      </c>
      <c r="D29" s="285" t="s">
        <v>305</v>
      </c>
      <c r="E29" s="285" t="s">
        <v>306</v>
      </c>
      <c r="F29" s="286" t="s">
        <v>307</v>
      </c>
      <c r="G29" s="62"/>
      <c r="H29" s="285" t="s">
        <v>304</v>
      </c>
      <c r="I29" s="285" t="s">
        <v>305</v>
      </c>
      <c r="J29" s="285" t="s">
        <v>306</v>
      </c>
      <c r="K29" s="286" t="s">
        <v>307</v>
      </c>
      <c r="L29" s="62"/>
      <c r="M29" s="285" t="s">
        <v>304</v>
      </c>
      <c r="N29" s="285" t="s">
        <v>305</v>
      </c>
      <c r="O29" s="285" t="s">
        <v>306</v>
      </c>
      <c r="P29" s="286" t="s">
        <v>307</v>
      </c>
      <c r="Q29" s="62"/>
      <c r="R29" s="285" t="s">
        <v>304</v>
      </c>
      <c r="S29" s="285" t="s">
        <v>305</v>
      </c>
      <c r="T29" s="285" t="s">
        <v>306</v>
      </c>
      <c r="U29" s="286" t="s">
        <v>307</v>
      </c>
      <c r="X29" s="303" t="s">
        <v>355</v>
      </c>
      <c r="Y29" s="310">
        <f>E301</f>
        <v>10.780000000000001</v>
      </c>
      <c r="Z29" s="310">
        <f>F301</f>
        <v>0.3</v>
      </c>
      <c r="AA29" s="310">
        <f>C302</f>
        <v>15.514000000000001</v>
      </c>
      <c r="AB29" s="310">
        <f>E302</f>
        <v>11.080000000000002</v>
      </c>
      <c r="AC29" s="311"/>
      <c r="AD29" s="310">
        <f>J301</f>
        <v>10.72</v>
      </c>
      <c r="AE29" s="310">
        <f>K301</f>
        <v>0.89999999999999991</v>
      </c>
      <c r="AF29" s="310">
        <f>H302</f>
        <v>16.335999999999999</v>
      </c>
      <c r="AG29" s="310">
        <f>J302</f>
        <v>11.620000000000001</v>
      </c>
      <c r="AH29" s="311"/>
      <c r="AI29" s="310">
        <f>O301</f>
        <v>11.47</v>
      </c>
      <c r="AJ29" s="310">
        <f>P301</f>
        <v>0.89999999999999991</v>
      </c>
      <c r="AK29" s="310">
        <f>M302</f>
        <v>17.311</v>
      </c>
      <c r="AL29" s="310">
        <f>O302</f>
        <v>12.370000000000001</v>
      </c>
      <c r="AN29" s="310">
        <f>T301</f>
        <v>11.47</v>
      </c>
      <c r="AO29" s="310">
        <f>U301</f>
        <v>0.89999999999999991</v>
      </c>
      <c r="AP29" s="310">
        <f>R302</f>
        <v>17.311</v>
      </c>
      <c r="AQ29" s="310">
        <f>T302</f>
        <v>12.370000000000001</v>
      </c>
    </row>
    <row r="30" spans="1:43">
      <c r="B30" s="62"/>
      <c r="G30" s="62"/>
      <c r="L30" s="62"/>
      <c r="Q30" s="62"/>
      <c r="X30" s="270"/>
      <c r="Y30" s="311"/>
      <c r="Z30" s="311"/>
      <c r="AA30" s="311"/>
      <c r="AB30" s="311"/>
      <c r="AC30" s="311"/>
      <c r="AD30" s="311"/>
      <c r="AE30" s="311"/>
      <c r="AF30" s="311"/>
      <c r="AG30" s="311"/>
      <c r="AH30" s="311"/>
      <c r="AI30" s="311"/>
      <c r="AJ30" s="311"/>
      <c r="AK30" s="311"/>
      <c r="AL30" s="311"/>
    </row>
    <row r="31" spans="1:43">
      <c r="A31" s="299" t="s">
        <v>288</v>
      </c>
      <c r="B31" s="296">
        <f>4.6/2</f>
        <v>2.2999999999999998</v>
      </c>
      <c r="C31" s="324">
        <f>IF(B31="","",B31*'C.U. tab. riassuntiva'!$G$7)</f>
        <v>12.587899999999999</v>
      </c>
      <c r="D31" s="324">
        <f>IF(B31="","",B31*'C.U. tab. riassuntiva'!$H$7)</f>
        <v>6.8999999999999995</v>
      </c>
      <c r="E31" s="324">
        <f>IF(B31="","",B31*'C.U. tab. riassuntiva'!$I$7)</f>
        <v>9.6829999999999998</v>
      </c>
      <c r="F31" s="324">
        <f>IF(B31="","",B31*'C.U. tab. riassuntiva'!$J$7)</f>
        <v>1.38</v>
      </c>
      <c r="G31" s="3">
        <f>4.6/2</f>
        <v>2.2999999999999998</v>
      </c>
      <c r="H31" s="304">
        <f>IF(G31="","",G31*'C.U. tab. riassuntiva'!$G$4)</f>
        <v>12.229099999999999</v>
      </c>
      <c r="I31" s="304">
        <f>IF(G31="","",G31*'C.U. tab. riassuntiva'!$H$4)</f>
        <v>11.04</v>
      </c>
      <c r="J31" s="304">
        <f>IF(G31="","",G31*'C.U. tab. riassuntiva'!$I$4)</f>
        <v>9.4069999999999983</v>
      </c>
      <c r="K31" s="304">
        <f>IF(G31="","",G31*'C.U. tab. riassuntiva'!$J$4)</f>
        <v>4.1399999999999997</v>
      </c>
      <c r="L31" s="3">
        <f>4.6/2</f>
        <v>2.2999999999999998</v>
      </c>
      <c r="M31" s="304">
        <f>IF(L31="","",L31*'C.U. tab. riassuntiva'!$G$4)</f>
        <v>12.229099999999999</v>
      </c>
      <c r="N31" s="304">
        <f>IF(L31="","",L31*'C.U. tab. riassuntiva'!$H$4)</f>
        <v>11.04</v>
      </c>
      <c r="O31" s="304">
        <f>IF(L31="","",L31*'C.U. tab. riassuntiva'!$I$4)</f>
        <v>9.4069999999999983</v>
      </c>
      <c r="P31" s="304">
        <f>IF(L31="","",L31*'C.U. tab. riassuntiva'!$J$4)</f>
        <v>4.1399999999999997</v>
      </c>
      <c r="Q31" s="3">
        <f>4.6/2</f>
        <v>2.2999999999999998</v>
      </c>
      <c r="R31" s="304">
        <f>IF(Q31="","",Q31*'C.U. tab. riassuntiva'!$G$4)</f>
        <v>12.229099999999999</v>
      </c>
      <c r="S31" s="304">
        <f>IF(Q31="","",Q31*'C.U. tab. riassuntiva'!$H$4)</f>
        <v>11.04</v>
      </c>
      <c r="T31" s="304">
        <f>IF(Q31="","",Q31*'C.U. tab. riassuntiva'!$I$4)</f>
        <v>9.4069999999999983</v>
      </c>
      <c r="U31" s="304">
        <f>IF(Q31="","",Q31*'C.U. tab. riassuntiva'!$J$4)</f>
        <v>4.1399999999999997</v>
      </c>
    </row>
    <row r="32" spans="1:43">
      <c r="A32" s="299" t="s">
        <v>289</v>
      </c>
      <c r="B32" s="308">
        <f>1.5</f>
        <v>1.5</v>
      </c>
      <c r="C32" s="324">
        <f>IF(B32="","",B32*'C.U. tab. riassuntiva'!$G$9)</f>
        <v>3.2175000000000002</v>
      </c>
      <c r="D32" s="324">
        <f>IF(B32="","",B32*'C.U. tab. riassuntiva'!$H$9)</f>
        <v>1.125</v>
      </c>
      <c r="E32" s="324">
        <f>IF(B32="","",B32*'C.U. tab. riassuntiva'!$I$9)</f>
        <v>2.4749999999999996</v>
      </c>
      <c r="F32" s="324">
        <f>IF(B32="","",B32*'C.U. tab. riassuntiva'!$J$9)</f>
        <v>0</v>
      </c>
      <c r="G32" s="23">
        <f>B32</f>
        <v>1.5</v>
      </c>
      <c r="H32" s="304">
        <f>IF(G32="","",G32*'C.U. tab. riassuntiva'!$G$10)</f>
        <v>8.2095000000000002</v>
      </c>
      <c r="I32" s="304">
        <f>IF(G32="","",G32*'C.U. tab. riassuntiva'!$H$10)</f>
        <v>9</v>
      </c>
      <c r="J32" s="304">
        <f>IF(G32="","",G32*'C.U. tab. riassuntiva'!$I$10)</f>
        <v>6.3149999999999995</v>
      </c>
      <c r="K32" s="304">
        <f>IF(G32="","",G32*'C.U. tab. riassuntiva'!$J$10)</f>
        <v>3.5999999999999996</v>
      </c>
      <c r="L32" s="23">
        <f>B32</f>
        <v>1.5</v>
      </c>
      <c r="M32" s="304">
        <f>IF(L32="","",L32*'C.U. tab. riassuntiva'!$G$10)</f>
        <v>8.2095000000000002</v>
      </c>
      <c r="N32" s="304">
        <f>IF(L32="","",L32*'C.U. tab. riassuntiva'!$H$10)</f>
        <v>9</v>
      </c>
      <c r="O32" s="304">
        <f>IF(L32="","",L32*'C.U. tab. riassuntiva'!$I$10)</f>
        <v>6.3149999999999995</v>
      </c>
      <c r="P32" s="304">
        <f>IF(L32="","",L32*'C.U. tab. riassuntiva'!$J$10)</f>
        <v>3.5999999999999996</v>
      </c>
      <c r="Q32" s="23"/>
      <c r="R32" s="304" t="str">
        <f>IF(Q32="","",Q32*'C.U. tab. riassuntiva'!$G$10)</f>
        <v/>
      </c>
      <c r="S32" s="304" t="str">
        <f>IF(Q32="","",Q32*'C.U. tab. riassuntiva'!$H$10)</f>
        <v/>
      </c>
      <c r="T32" s="304" t="str">
        <f>IF(Q32="","",Q32*'C.U. tab. riassuntiva'!$I$10)</f>
        <v/>
      </c>
      <c r="U32" s="304" t="str">
        <f>IF(Q32="","",Q32*'C.U. tab. riassuntiva'!$J$10)</f>
        <v/>
      </c>
    </row>
    <row r="33" spans="1:21">
      <c r="A33" s="299" t="s">
        <v>290</v>
      </c>
      <c r="B33" s="296"/>
      <c r="C33" s="324" t="str">
        <f>IF(B33="","",B33*'C.U. tab. riassuntiva'!$G$11)</f>
        <v/>
      </c>
      <c r="D33" s="324" t="str">
        <f>IF(B33="","",B33*'C.U. tab. riassuntiva'!$H$11)</f>
        <v/>
      </c>
      <c r="E33" s="324" t="str">
        <f>IF(B33="","",B33*'C.U. tab. riassuntiva'!$I$11)</f>
        <v/>
      </c>
      <c r="F33" s="324" t="str">
        <f>IF(B33="","",B33*'C.U. tab. riassuntiva'!$J$11)</f>
        <v/>
      </c>
      <c r="G33" s="3"/>
      <c r="H33" s="304" t="str">
        <f>IF(G33="","",G33*'C.U. tab. riassuntiva'!$G$11)</f>
        <v/>
      </c>
      <c r="I33" s="304" t="str">
        <f>IF(G33="","",G33*'C.U. tab. riassuntiva'!$H$11)</f>
        <v/>
      </c>
      <c r="J33" s="304" t="str">
        <f>IF(G33="","",G33*'C.U. tab. riassuntiva'!$I$11)</f>
        <v/>
      </c>
      <c r="K33" s="304" t="str">
        <f>IF(G33="","",G33*'C.U. tab. riassuntiva'!$J$11)</f>
        <v/>
      </c>
      <c r="L33" s="3"/>
      <c r="M33" s="304" t="str">
        <f>IF(L33="","",L33*'C.U. tab. riassuntiva'!$G$11)</f>
        <v/>
      </c>
      <c r="N33" s="304" t="str">
        <f>IF(L33="","",L33*'C.U. tab. riassuntiva'!$H$11)</f>
        <v/>
      </c>
      <c r="O33" s="304" t="str">
        <f>IF(L33="","",L33*'C.U. tab. riassuntiva'!$I$11)</f>
        <v/>
      </c>
      <c r="P33" s="304" t="str">
        <f>IF(L33="","",L33*'C.U. tab. riassuntiva'!$J$11)</f>
        <v/>
      </c>
      <c r="Q33" s="3"/>
      <c r="R33" s="304" t="str">
        <f>IF(Q33="","",Q33*'C.U. tab. riassuntiva'!$G$11)</f>
        <v/>
      </c>
      <c r="S33" s="304" t="str">
        <f>IF(Q33="","",Q33*'C.U. tab. riassuntiva'!$H$11)</f>
        <v/>
      </c>
      <c r="T33" s="304" t="str">
        <f>IF(Q33="","",Q33*'C.U. tab. riassuntiva'!$I$11)</f>
        <v/>
      </c>
      <c r="U33" s="304" t="str">
        <f>IF(Q33="","",Q33*'C.U. tab. riassuntiva'!$J$11)</f>
        <v/>
      </c>
    </row>
    <row r="34" spans="1:21">
      <c r="A34" s="299" t="s">
        <v>291</v>
      </c>
      <c r="B34" s="308">
        <v>1</v>
      </c>
      <c r="C34" s="324">
        <f>IF(B34="","",B34*'C.U. tab. riassuntiva'!$G$12)</f>
        <v>3.8415000000000004</v>
      </c>
      <c r="D34" s="324"/>
      <c r="E34" s="324">
        <f>IF(B34="","",B34*'C.U. tab. riassuntiva'!$I$12)</f>
        <v>2.9550000000000001</v>
      </c>
      <c r="F34" s="324"/>
      <c r="G34" s="23">
        <v>1</v>
      </c>
      <c r="H34" s="304">
        <f>IF(G34="","",G34*'C.U. tab. riassuntiva'!$G$12)</f>
        <v>3.8415000000000004</v>
      </c>
      <c r="I34" s="304"/>
      <c r="J34" s="304">
        <f>IF(G34="","",G34*'C.U. tab. riassuntiva'!$I$12)</f>
        <v>2.9550000000000001</v>
      </c>
      <c r="K34" s="304"/>
      <c r="L34" s="23">
        <v>1</v>
      </c>
      <c r="M34" s="304">
        <f>IF(L34="","",L34*'C.U. tab. riassuntiva'!$G$13)</f>
        <v>4.8165000000000004</v>
      </c>
      <c r="N34" s="304"/>
      <c r="O34" s="304">
        <f>IF(L34="","",L34*'C.U. tab. riassuntiva'!$I$13)</f>
        <v>3.7050000000000001</v>
      </c>
      <c r="P34" s="304"/>
      <c r="Q34" s="23">
        <v>1</v>
      </c>
      <c r="R34" s="304">
        <f>IF(Q34="","",Q34*'C.U. tab. riassuntiva'!$G$13)</f>
        <v>4.8165000000000004</v>
      </c>
      <c r="S34" s="304"/>
      <c r="T34" s="304">
        <f>IF(Q34="","",Q34*'C.U. tab. riassuntiva'!$I$13)</f>
        <v>3.7050000000000001</v>
      </c>
      <c r="U34" s="304"/>
    </row>
    <row r="35" spans="1:21">
      <c r="A35" s="299" t="s">
        <v>292</v>
      </c>
      <c r="B35" s="296"/>
      <c r="C35" s="324" t="str">
        <f>IF(B35="","",B35*'C.U. tab. riassuntiva'!$G$14)</f>
        <v/>
      </c>
      <c r="D35" s="324"/>
      <c r="E35" s="324" t="str">
        <f>IF(B35="","",B35*'C.U. tab. riassuntiva'!$I$14)</f>
        <v/>
      </c>
      <c r="F35" s="324"/>
      <c r="G35" s="3"/>
      <c r="H35" s="304" t="str">
        <f>IF(G35="","",G35*'C.U. tab. riassuntiva'!$G$14)</f>
        <v/>
      </c>
      <c r="I35" s="304"/>
      <c r="J35" s="304" t="str">
        <f>IF(G35="","",G35*'C.U. tab. riassuntiva'!$I$14)</f>
        <v/>
      </c>
      <c r="K35" s="304"/>
      <c r="L35" s="3"/>
      <c r="M35" s="304" t="str">
        <f>IF(L35="","",L35*'C.U. tab. riassuntiva'!$G$14)</f>
        <v/>
      </c>
      <c r="N35" s="304"/>
      <c r="O35" s="304" t="str">
        <f>IF(L35="","",L35*'C.U. tab. riassuntiva'!$I$14)</f>
        <v/>
      </c>
      <c r="P35" s="304"/>
      <c r="Q35" s="3"/>
      <c r="R35" s="304" t="str">
        <f>IF(Q35="","",Q35*'C.U. tab. riassuntiva'!$G$14)</f>
        <v/>
      </c>
      <c r="S35" s="304"/>
      <c r="T35" s="304" t="str">
        <f>IF(Q35="","",Q35*'C.U. tab. riassuntiva'!$I$14)</f>
        <v/>
      </c>
      <c r="U35" s="304"/>
    </row>
    <row r="36" spans="1:21">
      <c r="A36" s="299" t="s">
        <v>15</v>
      </c>
      <c r="B36" s="296"/>
      <c r="C36" s="77" t="str">
        <f>IF(B36="","",B36*'C.U. tab. riassuntiva'!$G$16)</f>
        <v/>
      </c>
      <c r="D36" s="77"/>
      <c r="E36" s="77" t="str">
        <f>IF(B36="","",B36*'C.U. tab. riassuntiva'!$I$16)</f>
        <v/>
      </c>
      <c r="F36" s="77"/>
      <c r="G36" s="3">
        <v>0.8</v>
      </c>
      <c r="H36" s="77">
        <f>IF(G36="","",G36*'C.U. tab. riassuntiva'!$G$16)</f>
        <v>5.9488000000000012</v>
      </c>
      <c r="I36" s="77"/>
      <c r="J36" s="77">
        <f>IF(G36="","",G36*'C.U. tab. riassuntiva'!$I$16)</f>
        <v>4.5760000000000005</v>
      </c>
      <c r="K36" s="77"/>
      <c r="L36" s="3">
        <v>0.8</v>
      </c>
      <c r="M36" s="77">
        <f>IF(L36="","",L36*'C.U. tab. riassuntiva'!$G$16)</f>
        <v>5.9488000000000012</v>
      </c>
      <c r="N36" s="77"/>
      <c r="O36" s="77">
        <f>IF(L36="","",L36*'C.U. tab. riassuntiva'!$I$16)</f>
        <v>4.5760000000000005</v>
      </c>
      <c r="P36" s="77"/>
      <c r="Q36" s="3">
        <v>0.9</v>
      </c>
      <c r="R36" s="77">
        <f>IF(Q36="","",Q36*'C.U. tab. riassuntiva'!$G$16)</f>
        <v>6.692400000000001</v>
      </c>
      <c r="S36" s="77"/>
      <c r="T36" s="77">
        <f>IF(Q36="","",Q36*'C.U. tab. riassuntiva'!$I$16)</f>
        <v>5.1480000000000006</v>
      </c>
      <c r="U36" s="77"/>
    </row>
    <row r="37" spans="1:21">
      <c r="A37" s="299"/>
      <c r="B37" s="296"/>
      <c r="C37" s="284">
        <f>SUM(C31:C36)</f>
        <v>19.646899999999999</v>
      </c>
      <c r="D37" s="284">
        <f>SUM(D31:D36)</f>
        <v>8.0249999999999986</v>
      </c>
      <c r="E37" s="284">
        <f>SUM(E31:E36)</f>
        <v>15.113</v>
      </c>
      <c r="F37" s="284">
        <f>SUM(F31:F36)</f>
        <v>1.38</v>
      </c>
      <c r="G37" s="296"/>
      <c r="H37" s="284">
        <f>SUM(H31:H36)</f>
        <v>30.228900000000003</v>
      </c>
      <c r="I37" s="284">
        <f>SUM(I31:I36)</f>
        <v>20.04</v>
      </c>
      <c r="J37" s="284">
        <f>SUM(J31:J36)</f>
        <v>23.253</v>
      </c>
      <c r="K37" s="284">
        <f>SUM(K31:K36)</f>
        <v>7.7399999999999993</v>
      </c>
      <c r="L37" s="296"/>
      <c r="M37" s="284">
        <f>SUM(M31:M36)</f>
        <v>31.203900000000004</v>
      </c>
      <c r="N37" s="284">
        <f>SUM(N31:N36)</f>
        <v>20.04</v>
      </c>
      <c r="O37" s="284">
        <f>SUM(O31:O36)</f>
        <v>24.003</v>
      </c>
      <c r="P37" s="284">
        <f>SUM(P31:P36)</f>
        <v>7.7399999999999993</v>
      </c>
      <c r="R37" s="284">
        <f>SUM(R31:R36)</f>
        <v>23.738</v>
      </c>
      <c r="S37" s="284">
        <f>SUM(S31:S36)</f>
        <v>11.04</v>
      </c>
      <c r="T37" s="284">
        <f>SUM(T31:T36)</f>
        <v>18.259999999999998</v>
      </c>
      <c r="U37" s="284">
        <f>SUM(U31:U36)</f>
        <v>4.1399999999999997</v>
      </c>
    </row>
    <row r="38" spans="1:21">
      <c r="A38" s="43"/>
      <c r="B38" s="43"/>
      <c r="C38" s="471">
        <f>C37+D37</f>
        <v>27.671899999999997</v>
      </c>
      <c r="D38" s="473"/>
      <c r="E38" s="471">
        <f>E37+F37</f>
        <v>16.492999999999999</v>
      </c>
      <c r="F38" s="473"/>
      <c r="G38" s="43"/>
      <c r="H38" s="471">
        <f>H37+I37</f>
        <v>50.268900000000002</v>
      </c>
      <c r="I38" s="471"/>
      <c r="J38" s="471">
        <f>J37+K37</f>
        <v>30.992999999999999</v>
      </c>
      <c r="K38" s="471"/>
      <c r="L38" s="43"/>
      <c r="M38" s="471">
        <f>M37+N37</f>
        <v>51.243900000000004</v>
      </c>
      <c r="N38" s="471"/>
      <c r="O38" s="471">
        <f>O37+P37</f>
        <v>31.742999999999999</v>
      </c>
      <c r="P38" s="471"/>
      <c r="Q38" s="314"/>
      <c r="R38" s="471">
        <f>R37+S37</f>
        <v>34.777999999999999</v>
      </c>
      <c r="S38" s="471"/>
      <c r="T38" s="471">
        <f>T37+U37</f>
        <v>22.4</v>
      </c>
      <c r="U38" s="471"/>
    </row>
    <row r="39" spans="1:21">
      <c r="A39" s="43"/>
      <c r="B39" s="43"/>
      <c r="C39" s="309"/>
      <c r="D39" s="309"/>
      <c r="E39" s="309"/>
      <c r="F39" s="309"/>
      <c r="G39" s="43"/>
      <c r="H39" s="43"/>
      <c r="I39" s="309"/>
      <c r="J39" s="309"/>
      <c r="K39" s="309"/>
      <c r="L39" s="309"/>
      <c r="M39" s="43"/>
      <c r="N39" s="43"/>
      <c r="O39" s="309"/>
      <c r="P39" s="309"/>
      <c r="Q39" s="309"/>
      <c r="R39" s="309"/>
    </row>
    <row r="40" spans="1:21">
      <c r="A40" s="271" t="s">
        <v>227</v>
      </c>
    </row>
    <row r="41" spans="1:21">
      <c r="A41" s="272" t="s">
        <v>287</v>
      </c>
      <c r="C41" s="289" t="s">
        <v>293</v>
      </c>
      <c r="H41" s="289" t="s">
        <v>303</v>
      </c>
      <c r="M41" s="289" t="s">
        <v>331</v>
      </c>
      <c r="R41" s="289" t="s">
        <v>330</v>
      </c>
    </row>
    <row r="42" spans="1:21" ht="18.75">
      <c r="A42" s="303" t="s">
        <v>335</v>
      </c>
      <c r="B42" s="62"/>
      <c r="C42" s="285" t="s">
        <v>304</v>
      </c>
      <c r="D42" s="285" t="s">
        <v>305</v>
      </c>
      <c r="E42" s="285" t="s">
        <v>306</v>
      </c>
      <c r="F42" s="286" t="s">
        <v>307</v>
      </c>
      <c r="G42" s="62"/>
      <c r="H42" s="285" t="s">
        <v>304</v>
      </c>
      <c r="I42" s="285" t="s">
        <v>305</v>
      </c>
      <c r="J42" s="285" t="s">
        <v>306</v>
      </c>
      <c r="K42" s="286" t="s">
        <v>307</v>
      </c>
      <c r="L42" s="62"/>
      <c r="M42" s="285" t="s">
        <v>304</v>
      </c>
      <c r="N42" s="285" t="s">
        <v>305</v>
      </c>
      <c r="O42" s="285" t="s">
        <v>306</v>
      </c>
      <c r="P42" s="286" t="s">
        <v>307</v>
      </c>
      <c r="Q42" s="62"/>
      <c r="R42" s="285" t="s">
        <v>304</v>
      </c>
      <c r="S42" s="285" t="s">
        <v>305</v>
      </c>
      <c r="T42" s="285" t="s">
        <v>306</v>
      </c>
      <c r="U42" s="286" t="s">
        <v>307</v>
      </c>
    </row>
    <row r="43" spans="1:21" ht="15.75">
      <c r="A43" s="303"/>
      <c r="B43" s="43"/>
      <c r="C43" s="285"/>
      <c r="D43" s="285"/>
      <c r="E43" s="285"/>
      <c r="F43" s="286"/>
      <c r="G43" s="62"/>
      <c r="H43" s="285"/>
      <c r="I43" s="285"/>
      <c r="J43" s="285"/>
      <c r="K43" s="286"/>
      <c r="L43" s="62"/>
      <c r="M43" s="285"/>
      <c r="N43" s="285"/>
      <c r="O43" s="285"/>
      <c r="P43" s="286"/>
      <c r="Q43" s="62"/>
      <c r="R43" s="285"/>
      <c r="S43" s="285"/>
      <c r="T43" s="285"/>
      <c r="U43" s="286"/>
    </row>
    <row r="44" spans="1:21">
      <c r="A44" s="299" t="s">
        <v>288</v>
      </c>
      <c r="B44" s="305">
        <v>1</v>
      </c>
      <c r="C44" s="304">
        <f>IF(B44="","",B44*'C.U. tab. riassuntiva'!$G$7)</f>
        <v>5.4729999999999999</v>
      </c>
      <c r="D44" s="304">
        <f>IF(B44="","",B44*'C.U. tab. riassuntiva'!$H$7)</f>
        <v>3</v>
      </c>
      <c r="E44" s="304">
        <f>IF(B44="","",B44*'C.U. tab. riassuntiva'!$I$7)</f>
        <v>4.21</v>
      </c>
      <c r="F44" s="304">
        <f>IF(B44="","",B44*'C.U. tab. riassuntiva'!$J$7)</f>
        <v>0.6</v>
      </c>
      <c r="G44" s="3">
        <v>1</v>
      </c>
      <c r="H44" s="304">
        <f>IF(G44="","",G44*'C.U. tab. riassuntiva'!$G$4)</f>
        <v>5.3170000000000002</v>
      </c>
      <c r="I44" s="304">
        <f>IF(G44="","",G44*'C.U. tab. riassuntiva'!$H$4)</f>
        <v>4.8</v>
      </c>
      <c r="J44" s="304">
        <f>IF(G44="","",G44*'C.U. tab. riassuntiva'!$I$4)</f>
        <v>4.09</v>
      </c>
      <c r="K44" s="304">
        <f>IF(G44="","",G44*'C.U. tab. riassuntiva'!$J$4)</f>
        <v>1.7999999999999998</v>
      </c>
      <c r="L44" s="3">
        <v>1</v>
      </c>
      <c r="M44" s="304">
        <f>IF(L44="","",L44*'C.U. tab. riassuntiva'!$G$4)</f>
        <v>5.3170000000000002</v>
      </c>
      <c r="N44" s="304">
        <f>IF(L44="","",L44*'C.U. tab. riassuntiva'!$H$4)</f>
        <v>4.8</v>
      </c>
      <c r="O44" s="304">
        <f>IF(L44="","",L44*'C.U. tab. riassuntiva'!$I$4)</f>
        <v>4.09</v>
      </c>
      <c r="P44" s="304">
        <f>IF(L44="","",L44*'C.U. tab. riassuntiva'!$J$4)</f>
        <v>1.7999999999999998</v>
      </c>
      <c r="Q44" s="3">
        <v>1</v>
      </c>
      <c r="R44" s="304">
        <f>IF(Q44="","",Q44*'C.U. tab. riassuntiva'!$G$4)</f>
        <v>5.3170000000000002</v>
      </c>
      <c r="S44" s="304">
        <f>IF(Q44="","",Q44*'C.U. tab. riassuntiva'!$H$4)</f>
        <v>4.8</v>
      </c>
      <c r="T44" s="304">
        <f>IF(Q44="","",Q44*'C.U. tab. riassuntiva'!$I$4)</f>
        <v>4.09</v>
      </c>
      <c r="U44" s="304">
        <f>IF(Q44="","",Q44*'C.U. tab. riassuntiva'!$J$4)</f>
        <v>1.7999999999999998</v>
      </c>
    </row>
    <row r="45" spans="1:21">
      <c r="A45" s="299" t="s">
        <v>289</v>
      </c>
      <c r="B45" s="305"/>
      <c r="C45" s="304" t="str">
        <f>IF(B45="","",B45*'C.U. tab. riassuntiva'!$G$9)</f>
        <v/>
      </c>
      <c r="D45" s="304" t="str">
        <f>IF(B45="","",B45*'C.U. tab. riassuntiva'!$H$9)</f>
        <v/>
      </c>
      <c r="E45" s="304" t="str">
        <f>IF(B45="","",B45*'C.U. tab. riassuntiva'!$I$9)</f>
        <v/>
      </c>
      <c r="F45" s="304" t="str">
        <f>IF(B45="","",B45*'C.U. tab. riassuntiva'!$J$9)</f>
        <v/>
      </c>
      <c r="G45" s="3"/>
      <c r="H45" s="304" t="str">
        <f>IF(G45="","",G45*'C.U. tab. riassuntiva'!$G$10)</f>
        <v/>
      </c>
      <c r="I45" s="304" t="str">
        <f>IF(G45="","",G45*'C.U. tab. riassuntiva'!$H$10)</f>
        <v/>
      </c>
      <c r="J45" s="304" t="str">
        <f>IF(G45="","",G45*'C.U. tab. riassuntiva'!$I$10)</f>
        <v/>
      </c>
      <c r="K45" s="304" t="str">
        <f>IF(G45="","",G45*'C.U. tab. riassuntiva'!$J$10)</f>
        <v/>
      </c>
      <c r="L45" s="3"/>
      <c r="M45" s="304" t="str">
        <f>IF(L45="","",L45*'C.U. tab. riassuntiva'!$G$10)</f>
        <v/>
      </c>
      <c r="N45" s="304" t="str">
        <f>IF(L45="","",L45*'C.U. tab. riassuntiva'!$H$10)</f>
        <v/>
      </c>
      <c r="O45" s="304" t="str">
        <f>IF(L45="","",L45*'C.U. tab. riassuntiva'!$I$10)</f>
        <v/>
      </c>
      <c r="P45" s="304" t="str">
        <f>IF(L45="","",L45*'C.U. tab. riassuntiva'!$J$10)</f>
        <v/>
      </c>
      <c r="Q45" s="3"/>
      <c r="R45" s="304" t="str">
        <f>IF(Q45="","",Q45*'C.U. tab. riassuntiva'!$G$10)</f>
        <v/>
      </c>
      <c r="S45" s="304" t="str">
        <f>IF(Q45="","",Q45*'C.U. tab. riassuntiva'!$H$10)</f>
        <v/>
      </c>
      <c r="T45" s="304" t="str">
        <f>IF(Q45="","",Q45*'C.U. tab. riassuntiva'!$I$10)</f>
        <v/>
      </c>
      <c r="U45" s="304" t="str">
        <f>IF(Q45="","",Q45*'C.U. tab. riassuntiva'!$J$10)</f>
        <v/>
      </c>
    </row>
    <row r="46" spans="1:21">
      <c r="A46" s="299" t="s">
        <v>290</v>
      </c>
      <c r="B46" s="305"/>
      <c r="C46" s="304" t="str">
        <f>IF(B46="","",B46*'C.U. tab. riassuntiva'!$G$11)</f>
        <v/>
      </c>
      <c r="D46" s="304" t="str">
        <f>IF(B46="","",B46*'C.U. tab. riassuntiva'!$H$11)</f>
        <v/>
      </c>
      <c r="E46" s="304" t="str">
        <f>IF(B46="","",B46*'C.U. tab. riassuntiva'!$I$11)</f>
        <v/>
      </c>
      <c r="F46" s="304" t="str">
        <f>IF(B46="","",B46*'C.U. tab. riassuntiva'!$J$11)</f>
        <v/>
      </c>
      <c r="G46" s="3"/>
      <c r="H46" s="304" t="str">
        <f>IF(G46="","",G46*'C.U. tab. riassuntiva'!$G$11)</f>
        <v/>
      </c>
      <c r="I46" s="304" t="str">
        <f>IF(G46="","",G46*'C.U. tab. riassuntiva'!$H$11)</f>
        <v/>
      </c>
      <c r="J46" s="304" t="str">
        <f>IF(G46="","",G46*'C.U. tab. riassuntiva'!$I$11)</f>
        <v/>
      </c>
      <c r="K46" s="304" t="str">
        <f>IF(G46="","",G46*'C.U. tab. riassuntiva'!$J$11)</f>
        <v/>
      </c>
      <c r="L46" s="3"/>
      <c r="M46" s="304" t="str">
        <f>IF(L46="","",L46*'C.U. tab. riassuntiva'!$G$11)</f>
        <v/>
      </c>
      <c r="N46" s="304" t="str">
        <f>IF(L46="","",L46*'C.U. tab. riassuntiva'!$H$11)</f>
        <v/>
      </c>
      <c r="O46" s="304" t="str">
        <f>IF(L46="","",L46*'C.U. tab. riassuntiva'!$I$11)</f>
        <v/>
      </c>
      <c r="P46" s="304" t="str">
        <f>IF(L46="","",L46*'C.U. tab. riassuntiva'!$J$11)</f>
        <v/>
      </c>
      <c r="Q46" s="3"/>
      <c r="R46" s="304" t="str">
        <f>IF(Q46="","",Q46*'C.U. tab. riassuntiva'!$G$11)</f>
        <v/>
      </c>
      <c r="S46" s="304" t="str">
        <f>IF(Q46="","",Q46*'C.U. tab. riassuntiva'!$H$11)</f>
        <v/>
      </c>
      <c r="T46" s="304" t="str">
        <f>IF(Q46="","",Q46*'C.U. tab. riassuntiva'!$I$11)</f>
        <v/>
      </c>
      <c r="U46" s="304" t="str">
        <f>IF(Q46="","",Q46*'C.U. tab. riassuntiva'!$J$11)</f>
        <v/>
      </c>
    </row>
    <row r="47" spans="1:21">
      <c r="A47" s="299" t="s">
        <v>291</v>
      </c>
      <c r="B47" s="305">
        <v>1</v>
      </c>
      <c r="C47" s="304">
        <f>IF(B47="","",B47*'C.U. tab. riassuntiva'!$G$12)</f>
        <v>3.8415000000000004</v>
      </c>
      <c r="D47" s="304"/>
      <c r="E47" s="304">
        <f>IF(B47="","",B47*'C.U. tab. riassuntiva'!$I$12)</f>
        <v>2.9550000000000001</v>
      </c>
      <c r="F47" s="304"/>
      <c r="G47" s="3">
        <v>1</v>
      </c>
      <c r="H47" s="304">
        <f>IF(G47="","",G47*'C.U. tab. riassuntiva'!$G$12)</f>
        <v>3.8415000000000004</v>
      </c>
      <c r="I47" s="304"/>
      <c r="J47" s="304">
        <f>IF(G47="","",G47*'C.U. tab. riassuntiva'!$I$12)</f>
        <v>2.9550000000000001</v>
      </c>
      <c r="K47" s="304"/>
      <c r="L47" s="3">
        <v>1</v>
      </c>
      <c r="M47" s="304">
        <f>IF(L47="","",L47*'C.U. tab. riassuntiva'!$G$13)</f>
        <v>4.8165000000000004</v>
      </c>
      <c r="N47" s="304"/>
      <c r="O47" s="304">
        <f>IF(L47="","",L47*'C.U. tab. riassuntiva'!$I$13)</f>
        <v>3.7050000000000001</v>
      </c>
      <c r="P47" s="304"/>
      <c r="Q47" s="3">
        <v>1</v>
      </c>
      <c r="R47" s="304">
        <f>IF(Q47="","",Q47*'C.U. tab. riassuntiva'!$G$13)</f>
        <v>4.8165000000000004</v>
      </c>
      <c r="S47" s="304"/>
      <c r="T47" s="304">
        <f>IF(Q47="","",Q47*'C.U. tab. riassuntiva'!$I$13)</f>
        <v>3.7050000000000001</v>
      </c>
      <c r="U47" s="304"/>
    </row>
    <row r="48" spans="1:21">
      <c r="A48" s="299" t="s">
        <v>292</v>
      </c>
      <c r="C48" s="304" t="str">
        <f>IF(B48="","",B48*'C.U. tab. riassuntiva'!$G$14)</f>
        <v/>
      </c>
      <c r="D48" s="304"/>
      <c r="E48" s="304" t="str">
        <f>IF(B48="","",B48*'C.U. tab. riassuntiva'!$I$14)</f>
        <v/>
      </c>
      <c r="F48" s="304"/>
      <c r="G48" s="62"/>
      <c r="H48" s="304" t="str">
        <f>IF(G48="","",G48*'C.U. tab. riassuntiva'!$G$14)</f>
        <v/>
      </c>
      <c r="I48" s="304"/>
      <c r="J48" s="304" t="str">
        <f>IF(G48="","",G48*'C.U. tab. riassuntiva'!$I$14)</f>
        <v/>
      </c>
      <c r="K48" s="304"/>
      <c r="L48" s="62"/>
      <c r="M48" s="304" t="str">
        <f>IF(L48="","",L48*'C.U. tab. riassuntiva'!$G$14)</f>
        <v/>
      </c>
      <c r="N48" s="304"/>
      <c r="O48" s="304" t="str">
        <f>IF(L48="","",L48*'C.U. tab. riassuntiva'!$I$14)</f>
        <v/>
      </c>
      <c r="P48" s="304"/>
      <c r="Q48" s="62"/>
      <c r="R48" s="304" t="str">
        <f>IF(Q48="","",Q48*'C.U. tab. riassuntiva'!$G$14)</f>
        <v/>
      </c>
      <c r="S48" s="304"/>
      <c r="T48" s="304" t="str">
        <f>IF(Q48="","",Q48*'C.U. tab. riassuntiva'!$I$14)</f>
        <v/>
      </c>
      <c r="U48" s="304"/>
    </row>
    <row r="49" spans="1:24">
      <c r="A49" s="299" t="s">
        <v>15</v>
      </c>
      <c r="C49" s="77" t="str">
        <f>IF(B49="","",B49*'C.U. tab. riassuntiva'!$G$16)</f>
        <v/>
      </c>
      <c r="D49" s="77"/>
      <c r="E49" s="77" t="str">
        <f>IF(B49="","",B49*'C.U. tab. riassuntiva'!$I$16)</f>
        <v/>
      </c>
      <c r="F49" s="77"/>
      <c r="G49" s="62"/>
      <c r="H49" s="77" t="str">
        <f>IF(G49="","",G49*'C.U. tab. riassuntiva'!$G$16)</f>
        <v/>
      </c>
      <c r="I49" s="77"/>
      <c r="J49" s="77" t="str">
        <f>IF(G49="","",G49*'C.U. tab. riassuntiva'!$I$16)</f>
        <v/>
      </c>
      <c r="K49" s="77"/>
      <c r="L49" s="62"/>
      <c r="M49" s="77" t="str">
        <f>IF(L49="","",L49*'C.U. tab. riassuntiva'!$G$16)</f>
        <v/>
      </c>
      <c r="N49" s="77"/>
      <c r="O49" s="77" t="str">
        <f>IF(L49="","",L49*'C.U. tab. riassuntiva'!$I$16)</f>
        <v/>
      </c>
      <c r="P49" s="77"/>
      <c r="Q49" s="62"/>
      <c r="R49" s="77" t="str">
        <f>IF(Q49="","",Q49*'C.U. tab. riassuntiva'!$G$16)</f>
        <v/>
      </c>
      <c r="S49" s="77"/>
      <c r="T49" s="77" t="str">
        <f>IF(Q49="","",Q49*'C.U. tab. riassuntiva'!$I$16)</f>
        <v/>
      </c>
      <c r="U49" s="77"/>
    </row>
    <row r="50" spans="1:24">
      <c r="A50" s="299"/>
      <c r="C50" s="284">
        <f>SUM(C44:C49)</f>
        <v>9.3145000000000007</v>
      </c>
      <c r="D50" s="284">
        <f>SUM(D44:D49)</f>
        <v>3</v>
      </c>
      <c r="E50" s="284">
        <f>SUM(E44:E49)</f>
        <v>7.165</v>
      </c>
      <c r="F50" s="284">
        <f>SUM(F44:F49)</f>
        <v>0.6</v>
      </c>
      <c r="G50" s="62"/>
      <c r="H50" s="284">
        <f>SUM(H44:H49)</f>
        <v>9.1585000000000001</v>
      </c>
      <c r="I50" s="284">
        <f>SUM(I44:I49)</f>
        <v>4.8</v>
      </c>
      <c r="J50" s="284">
        <f>SUM(J44:J49)</f>
        <v>7.0449999999999999</v>
      </c>
      <c r="K50" s="284">
        <f>SUM(K44:K49)</f>
        <v>1.7999999999999998</v>
      </c>
      <c r="L50" s="62"/>
      <c r="M50" s="284">
        <f>SUM(M44:M49)</f>
        <v>10.133500000000002</v>
      </c>
      <c r="N50" s="284">
        <f>SUM(N44:N49)</f>
        <v>4.8</v>
      </c>
      <c r="O50" s="284">
        <f>SUM(O44:O49)</f>
        <v>7.7949999999999999</v>
      </c>
      <c r="P50" s="284">
        <f>SUM(P44:P49)</f>
        <v>1.7999999999999998</v>
      </c>
      <c r="Q50" s="62"/>
      <c r="R50" s="284">
        <f>SUM(R44:R49)</f>
        <v>10.133500000000002</v>
      </c>
      <c r="S50" s="284">
        <f>SUM(S44:S49)</f>
        <v>4.8</v>
      </c>
      <c r="T50" s="284">
        <f>SUM(T44:T49)</f>
        <v>7.7949999999999999</v>
      </c>
      <c r="U50" s="284">
        <f>SUM(U44:U49)</f>
        <v>1.7999999999999998</v>
      </c>
    </row>
    <row r="51" spans="1:24">
      <c r="C51" s="471">
        <f>C50+D50</f>
        <v>12.314500000000001</v>
      </c>
      <c r="D51" s="473"/>
      <c r="E51" s="471">
        <f>E50+F50</f>
        <v>7.7649999999999997</v>
      </c>
      <c r="F51" s="473"/>
      <c r="H51" s="471">
        <f>H50+I50</f>
        <v>13.958500000000001</v>
      </c>
      <c r="I51" s="471"/>
      <c r="J51" s="471">
        <f>J50+K50</f>
        <v>8.8449999999999989</v>
      </c>
      <c r="K51" s="471"/>
      <c r="L51" s="314"/>
      <c r="M51" s="471">
        <f>M50+N50</f>
        <v>14.933500000000002</v>
      </c>
      <c r="N51" s="471"/>
      <c r="O51" s="471">
        <f>O50+P50</f>
        <v>9.5949999999999989</v>
      </c>
      <c r="P51" s="471"/>
      <c r="Q51" s="314"/>
      <c r="R51" s="471">
        <f>R50+S50</f>
        <v>14.933500000000002</v>
      </c>
      <c r="S51" s="471"/>
      <c r="T51" s="471">
        <f>T50+U50</f>
        <v>9.5949999999999989</v>
      </c>
      <c r="U51" s="471"/>
    </row>
    <row r="52" spans="1:24">
      <c r="C52" s="304"/>
      <c r="D52" s="305"/>
      <c r="E52" s="304"/>
      <c r="F52" s="305"/>
      <c r="I52" s="304"/>
      <c r="J52" s="305"/>
      <c r="K52" s="304"/>
      <c r="L52" s="305"/>
      <c r="O52" s="304"/>
      <c r="P52" s="305"/>
      <c r="Q52" s="304"/>
      <c r="R52" s="305"/>
      <c r="U52" s="304"/>
      <c r="V52" s="304"/>
      <c r="W52" s="304"/>
      <c r="X52" s="304"/>
    </row>
    <row r="53" spans="1:24">
      <c r="A53" s="272" t="s">
        <v>287</v>
      </c>
      <c r="C53" s="289" t="s">
        <v>293</v>
      </c>
      <c r="H53" s="289" t="s">
        <v>303</v>
      </c>
      <c r="M53" s="289" t="s">
        <v>331</v>
      </c>
      <c r="R53" s="289" t="s">
        <v>330</v>
      </c>
    </row>
    <row r="54" spans="1:24" ht="18.75">
      <c r="A54" s="303" t="s">
        <v>369</v>
      </c>
      <c r="C54" s="285" t="s">
        <v>304</v>
      </c>
      <c r="D54" s="285" t="s">
        <v>305</v>
      </c>
      <c r="E54" s="285" t="s">
        <v>306</v>
      </c>
      <c r="F54" s="286" t="s">
        <v>307</v>
      </c>
      <c r="G54" s="62"/>
      <c r="H54" s="285" t="s">
        <v>304</v>
      </c>
      <c r="I54" s="285" t="s">
        <v>305</v>
      </c>
      <c r="J54" s="285" t="s">
        <v>306</v>
      </c>
      <c r="K54" s="286" t="s">
        <v>307</v>
      </c>
      <c r="L54" s="62"/>
      <c r="M54" s="285" t="s">
        <v>304</v>
      </c>
      <c r="N54" s="285" t="s">
        <v>305</v>
      </c>
      <c r="O54" s="285" t="s">
        <v>306</v>
      </c>
      <c r="P54" s="286" t="s">
        <v>307</v>
      </c>
      <c r="Q54" s="62"/>
      <c r="R54" s="285" t="s">
        <v>304</v>
      </c>
      <c r="S54" s="285" t="s">
        <v>305</v>
      </c>
      <c r="T54" s="285" t="s">
        <v>306</v>
      </c>
      <c r="U54" s="286" t="s">
        <v>307</v>
      </c>
    </row>
    <row r="55" spans="1:24">
      <c r="B55" s="62"/>
      <c r="G55" s="62"/>
      <c r="L55" s="62"/>
      <c r="Q55" s="62"/>
    </row>
    <row r="56" spans="1:24">
      <c r="A56" s="299" t="s">
        <v>288</v>
      </c>
      <c r="B56" s="305">
        <f>1.2*(4.6/2)+1*(3.6/2)</f>
        <v>4.5599999999999996</v>
      </c>
      <c r="C56" s="304">
        <f>IF(B56="","",B56*'C.U. tab. riassuntiva'!$G$7)</f>
        <v>24.956879999999998</v>
      </c>
      <c r="D56" s="304">
        <f>IF(B56="","",B56*'C.U. tab. riassuntiva'!$H$7)</f>
        <v>13.68</v>
      </c>
      <c r="E56" s="304">
        <f>IF(B56="","",B56*'C.U. tab. riassuntiva'!$I$7)</f>
        <v>19.197599999999998</v>
      </c>
      <c r="F56" s="304">
        <f>IF(B56="","",B56*'C.U. tab. riassuntiva'!$J$7)</f>
        <v>2.7359999999999998</v>
      </c>
      <c r="G56" s="3">
        <f>1.2*(4.6/2)+1*(3.6/2)</f>
        <v>4.5599999999999996</v>
      </c>
      <c r="H56" s="304">
        <f>IF(G56="","",G56*'C.U. tab. riassuntiva'!$G$4)</f>
        <v>24.245519999999999</v>
      </c>
      <c r="I56" s="304">
        <f>IF(G56="","",G56*'C.U. tab. riassuntiva'!$H$4)</f>
        <v>21.887999999999998</v>
      </c>
      <c r="J56" s="304">
        <f>IF(G56="","",G56*'C.U. tab. riassuntiva'!$I$4)</f>
        <v>18.650399999999998</v>
      </c>
      <c r="K56" s="304">
        <f>IF(G56="","",G56*'C.U. tab. riassuntiva'!$J$4)</f>
        <v>8.2079999999999984</v>
      </c>
      <c r="L56" s="3">
        <f>1.2*(4.6/2)+1*(3.6/2)</f>
        <v>4.5599999999999996</v>
      </c>
      <c r="M56" s="304">
        <f>IF(L56="","",L56*'C.U. tab. riassuntiva'!$G$4)</f>
        <v>24.245519999999999</v>
      </c>
      <c r="N56" s="304">
        <f>IF(L56="","",L56*'C.U. tab. riassuntiva'!$H$4)</f>
        <v>21.887999999999998</v>
      </c>
      <c r="O56" s="304">
        <f>IF(L56="","",L56*'C.U. tab. riassuntiva'!$I$4)</f>
        <v>18.650399999999998</v>
      </c>
      <c r="P56" s="304">
        <f>IF(L56="","",L56*'C.U. tab. riassuntiva'!$J$4)</f>
        <v>8.2079999999999984</v>
      </c>
      <c r="Q56" s="3">
        <f>1.2*(4.6/2)+1*(3.6/2)</f>
        <v>4.5599999999999996</v>
      </c>
      <c r="R56" s="304">
        <f>IF(Q56="","",Q56*'C.U. tab. riassuntiva'!$G$4)</f>
        <v>24.245519999999999</v>
      </c>
      <c r="S56" s="304">
        <f>IF(Q56="","",Q56*'C.U. tab. riassuntiva'!$H$4)</f>
        <v>21.887999999999998</v>
      </c>
      <c r="T56" s="304">
        <f>IF(Q56="","",Q56*'C.U. tab. riassuntiva'!$I$4)</f>
        <v>18.650399999999998</v>
      </c>
      <c r="U56" s="304">
        <f>IF(Q56="","",Q56*'C.U. tab. riassuntiva'!$J$4)</f>
        <v>8.2079999999999984</v>
      </c>
    </row>
    <row r="57" spans="1:24">
      <c r="A57" s="299" t="s">
        <v>289</v>
      </c>
      <c r="C57" s="304" t="str">
        <f>IF(B57="","",B57*'C.U. tab. riassuntiva'!$G$9)</f>
        <v/>
      </c>
      <c r="D57" s="304" t="str">
        <f>IF(B57="","",B57*'C.U. tab. riassuntiva'!$H$9)</f>
        <v/>
      </c>
      <c r="E57" s="304" t="str">
        <f>IF(B57="","",B57*'C.U. tab. riassuntiva'!$I$9)</f>
        <v/>
      </c>
      <c r="F57" s="304" t="str">
        <f>IF(B57="","",B57*'C.U. tab. riassuntiva'!$J$9)</f>
        <v/>
      </c>
      <c r="G57" s="62"/>
      <c r="H57" s="304" t="str">
        <f>IF(G57="","",G57*'C.U. tab. riassuntiva'!$G$10)</f>
        <v/>
      </c>
      <c r="I57" s="304" t="str">
        <f>IF(G57="","",G57*'C.U. tab. riassuntiva'!$H$10)</f>
        <v/>
      </c>
      <c r="J57" s="304" t="str">
        <f>IF(G57="","",G57*'C.U. tab. riassuntiva'!$I$10)</f>
        <v/>
      </c>
      <c r="K57" s="304" t="str">
        <f>IF(G57="","",G57*'C.U. tab. riassuntiva'!$J$10)</f>
        <v/>
      </c>
      <c r="L57" s="62"/>
      <c r="M57" s="304" t="str">
        <f>IF(L57="","",L57*'C.U. tab. riassuntiva'!$G$10)</f>
        <v/>
      </c>
      <c r="N57" s="304" t="str">
        <f>IF(L57="","",L57*'C.U. tab. riassuntiva'!$H$10)</f>
        <v/>
      </c>
      <c r="O57" s="304" t="str">
        <f>IF(L57="","",L57*'C.U. tab. riassuntiva'!$I$10)</f>
        <v/>
      </c>
      <c r="P57" s="304" t="str">
        <f>IF(L57="","",L57*'C.U. tab. riassuntiva'!$J$10)</f>
        <v/>
      </c>
      <c r="Q57" s="62"/>
      <c r="R57" s="304" t="str">
        <f>IF(Q57="","",Q57*'C.U. tab. riassuntiva'!$G$10)</f>
        <v/>
      </c>
      <c r="S57" s="304" t="str">
        <f>IF(Q57="","",Q57*'C.U. tab. riassuntiva'!$H$10)</f>
        <v/>
      </c>
      <c r="T57" s="304" t="str">
        <f>IF(Q57="","",Q57*'C.U. tab. riassuntiva'!$I$10)</f>
        <v/>
      </c>
      <c r="U57" s="304" t="str">
        <f>IF(Q57="","",Q57*'C.U. tab. riassuntiva'!$J$10)</f>
        <v/>
      </c>
    </row>
    <row r="58" spans="1:24">
      <c r="A58" s="299" t="s">
        <v>290</v>
      </c>
      <c r="C58" s="304" t="str">
        <f>IF(B58="","",B58*'C.U. tab. riassuntiva'!$G$11)</f>
        <v/>
      </c>
      <c r="D58" s="304" t="str">
        <f>IF(B58="","",B58*'C.U. tab. riassuntiva'!$H$11)</f>
        <v/>
      </c>
      <c r="E58" s="304" t="str">
        <f>IF(B58="","",B58*'C.U. tab. riassuntiva'!$I$11)</f>
        <v/>
      </c>
      <c r="F58" s="304" t="str">
        <f>IF(B58="","",B58*'C.U. tab. riassuntiva'!$J$11)</f>
        <v/>
      </c>
      <c r="G58" s="62"/>
      <c r="H58" s="304" t="str">
        <f>IF(G58="","",G58*'C.U. tab. riassuntiva'!$G$11)</f>
        <v/>
      </c>
      <c r="I58" s="304" t="str">
        <f>IF(G58="","",G58*'C.U. tab. riassuntiva'!$H$11)</f>
        <v/>
      </c>
      <c r="J58" s="304" t="str">
        <f>IF(G58="","",G58*'C.U. tab. riassuntiva'!$I$11)</f>
        <v/>
      </c>
      <c r="K58" s="304" t="str">
        <f>IF(G58="","",G58*'C.U. tab. riassuntiva'!$J$11)</f>
        <v/>
      </c>
      <c r="L58" s="62"/>
      <c r="M58" s="304" t="str">
        <f>IF(L58="","",L58*'C.U. tab. riassuntiva'!$G$11)</f>
        <v/>
      </c>
      <c r="N58" s="304" t="str">
        <f>IF(L58="","",L58*'C.U. tab. riassuntiva'!$H$11)</f>
        <v/>
      </c>
      <c r="O58" s="304" t="str">
        <f>IF(L58="","",L58*'C.U. tab. riassuntiva'!$I$11)</f>
        <v/>
      </c>
      <c r="P58" s="304" t="str">
        <f>IF(L58="","",L58*'C.U. tab. riassuntiva'!$J$11)</f>
        <v/>
      </c>
      <c r="Q58" s="62"/>
      <c r="R58" s="304" t="str">
        <f>IF(Q58="","",Q58*'C.U. tab. riassuntiva'!$G$11)</f>
        <v/>
      </c>
      <c r="S58" s="304" t="str">
        <f>IF(Q58="","",Q58*'C.U. tab. riassuntiva'!$H$11)</f>
        <v/>
      </c>
      <c r="T58" s="304" t="str">
        <f>IF(Q58="","",Q58*'C.U. tab. riassuntiva'!$I$11)</f>
        <v/>
      </c>
      <c r="U58" s="304" t="str">
        <f>IF(Q58="","",Q58*'C.U. tab. riassuntiva'!$J$11)</f>
        <v/>
      </c>
    </row>
    <row r="59" spans="1:24">
      <c r="A59" s="299" t="s">
        <v>291</v>
      </c>
      <c r="B59" s="305">
        <v>1</v>
      </c>
      <c r="C59" s="304">
        <f>IF(B59="","",B59*'C.U. tab. riassuntiva'!$G$12)</f>
        <v>3.8415000000000004</v>
      </c>
      <c r="D59" s="304"/>
      <c r="E59" s="304">
        <f>IF(B59="","",B59*'C.U. tab. riassuntiva'!$I$12)</f>
        <v>2.9550000000000001</v>
      </c>
      <c r="F59" s="304"/>
      <c r="G59" s="3">
        <v>1</v>
      </c>
      <c r="H59" s="304">
        <f>IF(G59="","",G59*'C.U. tab. riassuntiva'!$G$12)</f>
        <v>3.8415000000000004</v>
      </c>
      <c r="I59" s="304"/>
      <c r="J59" s="304">
        <f>IF(G59="","",G59*'C.U. tab. riassuntiva'!$I$12)</f>
        <v>2.9550000000000001</v>
      </c>
      <c r="K59" s="304"/>
      <c r="L59" s="3">
        <v>1</v>
      </c>
      <c r="M59" s="304">
        <f>IF(L59="","",L59*'C.U. tab. riassuntiva'!$G$13)</f>
        <v>4.8165000000000004</v>
      </c>
      <c r="N59" s="304"/>
      <c r="O59" s="304">
        <f>IF(L59="","",L59*'C.U. tab. riassuntiva'!$I$13)</f>
        <v>3.7050000000000001</v>
      </c>
      <c r="P59" s="304"/>
      <c r="Q59" s="3">
        <v>1</v>
      </c>
      <c r="R59" s="304">
        <f>IF(Q59="","",Q59*'C.U. tab. riassuntiva'!$G$13)</f>
        <v>4.8165000000000004</v>
      </c>
      <c r="S59" s="304"/>
      <c r="T59" s="304">
        <f>IF(Q59="","",Q59*'C.U. tab. riassuntiva'!$I$13)</f>
        <v>3.7050000000000001</v>
      </c>
      <c r="U59" s="304"/>
    </row>
    <row r="60" spans="1:24">
      <c r="A60" s="299" t="s">
        <v>292</v>
      </c>
      <c r="C60" s="304" t="str">
        <f>IF(B60="","",B60*'C.U. tab. riassuntiva'!$G$14)</f>
        <v/>
      </c>
      <c r="D60" s="304"/>
      <c r="E60" s="304" t="str">
        <f>IF(B60="","",B60*'C.U. tab. riassuntiva'!$I$14)</f>
        <v/>
      </c>
      <c r="F60" s="304"/>
      <c r="G60" s="62"/>
      <c r="H60" s="304" t="str">
        <f>IF(G60="","",G60*'C.U. tab. riassuntiva'!$G$14)</f>
        <v/>
      </c>
      <c r="I60" s="304"/>
      <c r="J60" s="304" t="str">
        <f>IF(G60="","",G60*'C.U. tab. riassuntiva'!$I$14)</f>
        <v/>
      </c>
      <c r="K60" s="304"/>
      <c r="L60" s="62"/>
      <c r="M60" s="304" t="str">
        <f>IF(L60="","",L60*'C.U. tab. riassuntiva'!$G$14)</f>
        <v/>
      </c>
      <c r="N60" s="304"/>
      <c r="O60" s="304" t="str">
        <f>IF(L60="","",L60*'C.U. tab. riassuntiva'!$I$14)</f>
        <v/>
      </c>
      <c r="P60" s="304"/>
      <c r="Q60" s="62"/>
      <c r="R60" s="304" t="str">
        <f>IF(Q60="","",Q60*'C.U. tab. riassuntiva'!$G$14)</f>
        <v/>
      </c>
      <c r="S60" s="304"/>
      <c r="T60" s="304" t="str">
        <f>IF(Q60="","",Q60*'C.U. tab. riassuntiva'!$I$14)</f>
        <v/>
      </c>
      <c r="U60" s="304"/>
    </row>
    <row r="61" spans="1:24">
      <c r="A61" s="299" t="s">
        <v>15</v>
      </c>
      <c r="C61" s="77" t="str">
        <f>IF(B61="","",B61*'C.U. tab. riassuntiva'!$G$16)</f>
        <v/>
      </c>
      <c r="D61" s="77"/>
      <c r="E61" s="77" t="str">
        <f>IF(B61="","",B61*'C.U. tab. riassuntiva'!$I$16)</f>
        <v/>
      </c>
      <c r="F61" s="77"/>
      <c r="G61" s="62"/>
      <c r="H61" s="77" t="str">
        <f>IF(G61="","",G61*'C.U. tab. riassuntiva'!$G$16)</f>
        <v/>
      </c>
      <c r="I61" s="77"/>
      <c r="J61" s="77" t="str">
        <f>IF(G61="","",G61*'C.U. tab. riassuntiva'!$I$16)</f>
        <v/>
      </c>
      <c r="K61" s="77"/>
      <c r="L61" s="62"/>
      <c r="M61" s="77" t="str">
        <f>IF(L61="","",L61*'C.U. tab. riassuntiva'!$G$16)</f>
        <v/>
      </c>
      <c r="N61" s="77"/>
      <c r="O61" s="77" t="str">
        <f>IF(L61="","",L61*'C.U. tab. riassuntiva'!$I$16)</f>
        <v/>
      </c>
      <c r="P61" s="77"/>
      <c r="Q61" s="62"/>
      <c r="R61" s="77" t="str">
        <f>IF(Q61="","",Q61*'C.U. tab. riassuntiva'!$G$16)</f>
        <v/>
      </c>
      <c r="S61" s="77"/>
      <c r="T61" s="77" t="str">
        <f>IF(Q61="","",Q61*'C.U. tab. riassuntiva'!$I$16)</f>
        <v/>
      </c>
      <c r="U61" s="77"/>
    </row>
    <row r="62" spans="1:24">
      <c r="A62" s="299"/>
      <c r="C62" s="284">
        <f>SUM(C56:C61)</f>
        <v>28.798379999999998</v>
      </c>
      <c r="D62" s="284">
        <f>SUM(D56:D61)</f>
        <v>13.68</v>
      </c>
      <c r="E62" s="284">
        <f>SUM(E56:E61)</f>
        <v>22.1526</v>
      </c>
      <c r="F62" s="284">
        <f>SUM(F56:F61)</f>
        <v>2.7359999999999998</v>
      </c>
      <c r="G62" s="62"/>
      <c r="H62" s="284">
        <f>SUM(H56:H61)</f>
        <v>28.087019999999999</v>
      </c>
      <c r="I62" s="284">
        <f>SUM(I56:I61)</f>
        <v>21.887999999999998</v>
      </c>
      <c r="J62" s="284">
        <f>SUM(J56:J61)</f>
        <v>21.605399999999996</v>
      </c>
      <c r="K62" s="284">
        <f>SUM(K56:K61)</f>
        <v>8.2079999999999984</v>
      </c>
      <c r="L62" s="62"/>
      <c r="M62" s="284">
        <f>SUM(M56:M61)</f>
        <v>29.06202</v>
      </c>
      <c r="N62" s="284">
        <f>SUM(N56:N61)</f>
        <v>21.887999999999998</v>
      </c>
      <c r="O62" s="284">
        <f>SUM(O56:O61)</f>
        <v>22.355399999999996</v>
      </c>
      <c r="P62" s="284">
        <f>SUM(P56:P61)</f>
        <v>8.2079999999999984</v>
      </c>
      <c r="Q62" s="62"/>
      <c r="R62" s="284">
        <f>SUM(R56:R61)</f>
        <v>29.06202</v>
      </c>
      <c r="S62" s="284">
        <f>SUM(S56:S61)</f>
        <v>21.887999999999998</v>
      </c>
      <c r="T62" s="284">
        <f>SUM(T56:T61)</f>
        <v>22.355399999999996</v>
      </c>
      <c r="U62" s="284">
        <f>SUM(U56:U61)</f>
        <v>8.2079999999999984</v>
      </c>
    </row>
    <row r="63" spans="1:24">
      <c r="C63" s="471">
        <f>C62+D62</f>
        <v>42.478380000000001</v>
      </c>
      <c r="D63" s="471"/>
      <c r="E63" s="471">
        <f>E62+F62</f>
        <v>24.8886</v>
      </c>
      <c r="F63" s="471"/>
      <c r="H63" s="471">
        <f>H62+I62</f>
        <v>49.975020000000001</v>
      </c>
      <c r="I63" s="471"/>
      <c r="J63" s="471">
        <f>J62+K62</f>
        <v>29.813399999999994</v>
      </c>
      <c r="K63" s="471"/>
      <c r="L63" s="314"/>
      <c r="M63" s="471">
        <f>M62+N62</f>
        <v>50.950019999999995</v>
      </c>
      <c r="N63" s="471"/>
      <c r="O63" s="471">
        <f>O62+P62</f>
        <v>30.563399999999994</v>
      </c>
      <c r="P63" s="471"/>
      <c r="Q63" s="314"/>
      <c r="R63" s="471">
        <f>R62+S62</f>
        <v>50.950019999999995</v>
      </c>
      <c r="S63" s="471"/>
      <c r="T63" s="471">
        <f>T62+U62</f>
        <v>30.563399999999994</v>
      </c>
      <c r="U63" s="471"/>
    </row>
    <row r="65" spans="1:24">
      <c r="A65" s="272" t="s">
        <v>287</v>
      </c>
      <c r="C65" s="289" t="s">
        <v>293</v>
      </c>
      <c r="H65" s="289" t="s">
        <v>303</v>
      </c>
      <c r="M65" s="289" t="s">
        <v>331</v>
      </c>
      <c r="R65" s="289" t="s">
        <v>330</v>
      </c>
    </row>
    <row r="66" spans="1:24" ht="18.75">
      <c r="A66" s="303" t="s">
        <v>339</v>
      </c>
      <c r="C66" s="285" t="s">
        <v>304</v>
      </c>
      <c r="D66" s="285" t="s">
        <v>305</v>
      </c>
      <c r="E66" s="285" t="s">
        <v>306</v>
      </c>
      <c r="F66" s="286" t="s">
        <v>307</v>
      </c>
      <c r="G66" s="62"/>
      <c r="H66" s="285" t="s">
        <v>304</v>
      </c>
      <c r="I66" s="285" t="s">
        <v>305</v>
      </c>
      <c r="J66" s="285" t="s">
        <v>306</v>
      </c>
      <c r="K66" s="286" t="s">
        <v>307</v>
      </c>
      <c r="L66" s="62"/>
      <c r="M66" s="285" t="s">
        <v>304</v>
      </c>
      <c r="N66" s="285" t="s">
        <v>305</v>
      </c>
      <c r="O66" s="285" t="s">
        <v>306</v>
      </c>
      <c r="P66" s="286" t="s">
        <v>307</v>
      </c>
      <c r="Q66" s="62"/>
      <c r="R66" s="285" t="s">
        <v>304</v>
      </c>
      <c r="S66" s="285" t="s">
        <v>305</v>
      </c>
      <c r="T66" s="285" t="s">
        <v>306</v>
      </c>
      <c r="U66" s="286" t="s">
        <v>307</v>
      </c>
    </row>
    <row r="67" spans="1:24">
      <c r="B67" s="62"/>
      <c r="G67" s="62"/>
      <c r="L67" s="62"/>
      <c r="Q67" s="62"/>
    </row>
    <row r="68" spans="1:24">
      <c r="A68" s="299" t="s">
        <v>288</v>
      </c>
      <c r="B68" s="305">
        <f>1.2*(4.6/2)+1.2*(3.6/2)</f>
        <v>4.92</v>
      </c>
      <c r="C68" s="304">
        <f>IF(B68="","",B68*'C.U. tab. riassuntiva'!$G$7)</f>
        <v>26.927160000000001</v>
      </c>
      <c r="D68" s="304">
        <f>IF(B68="","",B68*'C.U. tab. riassuntiva'!$H$7)</f>
        <v>14.76</v>
      </c>
      <c r="E68" s="304">
        <f>IF(B68="","",B68*'C.U. tab. riassuntiva'!$I$7)</f>
        <v>20.713200000000001</v>
      </c>
      <c r="F68" s="304">
        <f>IF(B68="","",B68*'C.U. tab. riassuntiva'!$J$7)</f>
        <v>2.952</v>
      </c>
      <c r="G68" s="3">
        <f>1.2*(4.6/2)+1.2*(3.6/2)</f>
        <v>4.92</v>
      </c>
      <c r="H68" s="304">
        <f>IF(G68="","",G68*'C.U. tab. riassuntiva'!$G$4)</f>
        <v>26.15964</v>
      </c>
      <c r="I68" s="304">
        <f>IF(G68="","",G68*'C.U. tab. riassuntiva'!$H$4)</f>
        <v>23.616</v>
      </c>
      <c r="J68" s="304">
        <f>IF(G68="","",G68*'C.U. tab. riassuntiva'!$I$4)</f>
        <v>20.122799999999998</v>
      </c>
      <c r="K68" s="304">
        <f>IF(G68="","",G68*'C.U. tab. riassuntiva'!$J$4)</f>
        <v>8.8559999999999999</v>
      </c>
      <c r="L68" s="3">
        <f>1.2*(4.6/2)+1.2*(3.6/2)</f>
        <v>4.92</v>
      </c>
      <c r="M68" s="304">
        <f>IF(L68="","",L68*'C.U. tab. riassuntiva'!$G$4)</f>
        <v>26.15964</v>
      </c>
      <c r="N68" s="304">
        <f>IF(L68="","",L68*'C.U. tab. riassuntiva'!$H$4)</f>
        <v>23.616</v>
      </c>
      <c r="O68" s="304">
        <f>IF(L68="","",L68*'C.U. tab. riassuntiva'!$I$4)</f>
        <v>20.122799999999998</v>
      </c>
      <c r="P68" s="304">
        <f>IF(L68="","",L68*'C.U. tab. riassuntiva'!$J$4)</f>
        <v>8.8559999999999999</v>
      </c>
      <c r="Q68" s="3">
        <f>1.2*(4.6/2)+1.2*(3.6/2)</f>
        <v>4.92</v>
      </c>
      <c r="R68" s="304">
        <f>IF(Q68="","",Q68*'C.U. tab. riassuntiva'!$G$4)</f>
        <v>26.15964</v>
      </c>
      <c r="S68" s="304">
        <f>IF(Q68="","",Q68*'C.U. tab. riassuntiva'!$H$4)</f>
        <v>23.616</v>
      </c>
      <c r="T68" s="304">
        <f>IF(Q68="","",Q68*'C.U. tab. riassuntiva'!$I$4)</f>
        <v>20.122799999999998</v>
      </c>
      <c r="U68" s="304">
        <f>IF(Q68="","",Q68*'C.U. tab. riassuntiva'!$J$4)</f>
        <v>8.8559999999999999</v>
      </c>
    </row>
    <row r="69" spans="1:24">
      <c r="A69" s="299" t="s">
        <v>289</v>
      </c>
      <c r="C69" s="304" t="str">
        <f>IF(B69="","",B69*'C.U. tab. riassuntiva'!$G$9)</f>
        <v/>
      </c>
      <c r="D69" s="304" t="str">
        <f>IF(B69="","",B69*'C.U. tab. riassuntiva'!$H$9)</f>
        <v/>
      </c>
      <c r="E69" s="304" t="str">
        <f>IF(B69="","",B69*'C.U. tab. riassuntiva'!$I$9)</f>
        <v/>
      </c>
      <c r="F69" s="304" t="str">
        <f>IF(B69="","",B69*'C.U. tab. riassuntiva'!$J$9)</f>
        <v/>
      </c>
      <c r="G69" s="62"/>
      <c r="H69" s="304" t="str">
        <f>IF(G69="","",G69*'C.U. tab. riassuntiva'!$G$10)</f>
        <v/>
      </c>
      <c r="I69" s="304" t="str">
        <f>IF(G69="","",G69*'C.U. tab. riassuntiva'!$H$10)</f>
        <v/>
      </c>
      <c r="J69" s="304" t="str">
        <f>IF(G69="","",G69*'C.U. tab. riassuntiva'!$I$10)</f>
        <v/>
      </c>
      <c r="K69" s="304" t="str">
        <f>IF(G69="","",G69*'C.U. tab. riassuntiva'!$J$10)</f>
        <v/>
      </c>
      <c r="L69" s="62"/>
      <c r="M69" s="304" t="str">
        <f>IF(L69="","",L69*'C.U. tab. riassuntiva'!$G$10)</f>
        <v/>
      </c>
      <c r="N69" s="304" t="str">
        <f>IF(L69="","",L69*'C.U. tab. riassuntiva'!$H$10)</f>
        <v/>
      </c>
      <c r="O69" s="304" t="str">
        <f>IF(L69="","",L69*'C.U. tab. riassuntiva'!$I$10)</f>
        <v/>
      </c>
      <c r="P69" s="304" t="str">
        <f>IF(L69="","",L69*'C.U. tab. riassuntiva'!$J$10)</f>
        <v/>
      </c>
      <c r="Q69" s="62"/>
      <c r="R69" s="304" t="str">
        <f>IF(Q69="","",Q69*'C.U. tab. riassuntiva'!$G$10)</f>
        <v/>
      </c>
      <c r="S69" s="304" t="str">
        <f>IF(Q69="","",Q69*'C.U. tab. riassuntiva'!$H$10)</f>
        <v/>
      </c>
      <c r="T69" s="304" t="str">
        <f>IF(Q69="","",Q69*'C.U. tab. riassuntiva'!$I$10)</f>
        <v/>
      </c>
      <c r="U69" s="304" t="str">
        <f>IF(Q69="","",Q69*'C.U. tab. riassuntiva'!$J$10)</f>
        <v/>
      </c>
    </row>
    <row r="70" spans="1:24">
      <c r="A70" s="299" t="s">
        <v>290</v>
      </c>
      <c r="C70" s="304" t="str">
        <f>IF(B70="","",B70*'C.U. tab. riassuntiva'!$G$11)</f>
        <v/>
      </c>
      <c r="D70" s="304" t="str">
        <f>IF(B70="","",B70*'C.U. tab. riassuntiva'!$H$11)</f>
        <v/>
      </c>
      <c r="E70" s="304" t="str">
        <f>IF(B70="","",B70*'C.U. tab. riassuntiva'!$I$11)</f>
        <v/>
      </c>
      <c r="F70" s="304" t="str">
        <f>IF(B70="","",B70*'C.U. tab. riassuntiva'!$J$11)</f>
        <v/>
      </c>
      <c r="G70" s="62"/>
      <c r="H70" s="304" t="str">
        <f>IF(G70="","",G70*'C.U. tab. riassuntiva'!$G$11)</f>
        <v/>
      </c>
      <c r="I70" s="304" t="str">
        <f>IF(G70="","",G70*'C.U. tab. riassuntiva'!$H$11)</f>
        <v/>
      </c>
      <c r="J70" s="304" t="str">
        <f>IF(G70="","",G70*'C.U. tab. riassuntiva'!$I$11)</f>
        <v/>
      </c>
      <c r="K70" s="304" t="str">
        <f>IF(G70="","",G70*'C.U. tab. riassuntiva'!$J$11)</f>
        <v/>
      </c>
      <c r="L70" s="62"/>
      <c r="M70" s="304" t="str">
        <f>IF(L70="","",L70*'C.U. tab. riassuntiva'!$G$11)</f>
        <v/>
      </c>
      <c r="N70" s="304" t="str">
        <f>IF(L70="","",L70*'C.U. tab. riassuntiva'!$H$11)</f>
        <v/>
      </c>
      <c r="O70" s="304" t="str">
        <f>IF(L70="","",L70*'C.U. tab. riassuntiva'!$I$11)</f>
        <v/>
      </c>
      <c r="P70" s="304" t="str">
        <f>IF(L70="","",L70*'C.U. tab. riassuntiva'!$J$11)</f>
        <v/>
      </c>
      <c r="Q70" s="62"/>
      <c r="R70" s="304" t="str">
        <f>IF(Q70="","",Q70*'C.U. tab. riassuntiva'!$G$11)</f>
        <v/>
      </c>
      <c r="S70" s="304" t="str">
        <f>IF(Q70="","",Q70*'C.U. tab. riassuntiva'!$H$11)</f>
        <v/>
      </c>
      <c r="T70" s="304" t="str">
        <f>IF(Q70="","",Q70*'C.U. tab. riassuntiva'!$I$11)</f>
        <v/>
      </c>
      <c r="U70" s="304" t="str">
        <f>IF(Q70="","",Q70*'C.U. tab. riassuntiva'!$J$11)</f>
        <v/>
      </c>
    </row>
    <row r="71" spans="1:24">
      <c r="A71" s="299" t="s">
        <v>291</v>
      </c>
      <c r="C71" s="304" t="str">
        <f>IF(B71="","",B71*'C.U. tab. riassuntiva'!$G$12)</f>
        <v/>
      </c>
      <c r="D71" s="304"/>
      <c r="E71" s="304" t="str">
        <f>IF(B71="","",B71*'C.U. tab. riassuntiva'!$I$12)</f>
        <v/>
      </c>
      <c r="F71" s="304"/>
      <c r="G71" s="62"/>
      <c r="H71" s="304" t="str">
        <f>IF(G71="","",G71*'C.U. tab. riassuntiva'!$G$12)</f>
        <v/>
      </c>
      <c r="I71" s="304"/>
      <c r="J71" s="304" t="str">
        <f>IF(G71="","",G71*'C.U. tab. riassuntiva'!$I$12)</f>
        <v/>
      </c>
      <c r="K71" s="304"/>
      <c r="L71" s="62"/>
      <c r="M71" s="304" t="str">
        <f>IF(L71="","",L71*'C.U. tab. riassuntiva'!$G$13)</f>
        <v/>
      </c>
      <c r="N71" s="304"/>
      <c r="O71" s="304" t="str">
        <f>IF(L71="","",L71*'C.U. tab. riassuntiva'!$I$13)</f>
        <v/>
      </c>
      <c r="P71" s="304"/>
      <c r="Q71" s="62"/>
      <c r="R71" s="304" t="str">
        <f>IF(Q71="","",Q71*'C.U. tab. riassuntiva'!$G$13)</f>
        <v/>
      </c>
      <c r="S71" s="304"/>
      <c r="T71" s="304" t="str">
        <f>IF(Q71="","",Q71*'C.U. tab. riassuntiva'!$I$13)</f>
        <v/>
      </c>
      <c r="U71" s="304"/>
    </row>
    <row r="72" spans="1:24">
      <c r="A72" s="299" t="s">
        <v>292</v>
      </c>
      <c r="B72" s="305">
        <v>1</v>
      </c>
      <c r="C72" s="304">
        <f>IF(B72="","",B72*'C.U. tab. riassuntiva'!$G$14)</f>
        <v>3.9715000000000003</v>
      </c>
      <c r="D72" s="304"/>
      <c r="E72" s="304">
        <f>IF(B72="","",B72*'C.U. tab. riassuntiva'!$I$14)</f>
        <v>3.0550000000000002</v>
      </c>
      <c r="F72" s="304"/>
      <c r="G72" s="3">
        <v>1</v>
      </c>
      <c r="H72" s="304">
        <f>IF(G72="","",G72*'C.U. tab. riassuntiva'!$G$14)</f>
        <v>3.9715000000000003</v>
      </c>
      <c r="I72" s="304"/>
      <c r="J72" s="304">
        <f>IF(G72="","",G72*'C.U. tab. riassuntiva'!$I$14)</f>
        <v>3.0550000000000002</v>
      </c>
      <c r="K72" s="304"/>
      <c r="L72" s="3">
        <v>1</v>
      </c>
      <c r="M72" s="304">
        <f>IF(L72="","",L72*'C.U. tab. riassuntiva'!$G$14)</f>
        <v>3.9715000000000003</v>
      </c>
      <c r="N72" s="304"/>
      <c r="O72" s="304">
        <f>IF(L72="","",L72*'C.U. tab. riassuntiva'!$I$14)</f>
        <v>3.0550000000000002</v>
      </c>
      <c r="P72" s="304"/>
      <c r="Q72" s="3">
        <v>1</v>
      </c>
      <c r="R72" s="304">
        <f>IF(Q72="","",Q72*'C.U. tab. riassuntiva'!$G$14)</f>
        <v>3.9715000000000003</v>
      </c>
      <c r="S72" s="304"/>
      <c r="T72" s="304">
        <f>IF(Q72="","",Q72*'C.U. tab. riassuntiva'!$I$14)</f>
        <v>3.0550000000000002</v>
      </c>
      <c r="U72" s="304"/>
    </row>
    <row r="73" spans="1:24">
      <c r="A73" s="299" t="s">
        <v>15</v>
      </c>
      <c r="C73" s="77" t="str">
        <f>IF(B73="","",B73*'C.U. tab. riassuntiva'!$G$16)</f>
        <v/>
      </c>
      <c r="D73" s="77"/>
      <c r="E73" s="77" t="str">
        <f>IF(B73="","",B73*'C.U. tab. riassuntiva'!$I$16)</f>
        <v/>
      </c>
      <c r="F73" s="77"/>
      <c r="G73" s="62"/>
      <c r="H73" s="77" t="str">
        <f>IF(G73="","",G73*'C.U. tab. riassuntiva'!$G$16)</f>
        <v/>
      </c>
      <c r="I73" s="77"/>
      <c r="J73" s="77" t="str">
        <f>IF(G73="","",G73*'C.U. tab. riassuntiva'!$I$16)</f>
        <v/>
      </c>
      <c r="K73" s="77"/>
      <c r="L73" s="62"/>
      <c r="M73" s="77" t="str">
        <f>IF(L73="","",L73*'C.U. tab. riassuntiva'!$G$16)</f>
        <v/>
      </c>
      <c r="N73" s="77"/>
      <c r="O73" s="77" t="str">
        <f>IF(L73="","",L73*'C.U. tab. riassuntiva'!$I$16)</f>
        <v/>
      </c>
      <c r="P73" s="77"/>
      <c r="Q73" s="62"/>
      <c r="R73" s="77" t="str">
        <f>IF(Q73="","",Q73*'C.U. tab. riassuntiva'!$G$16)</f>
        <v/>
      </c>
      <c r="S73" s="77"/>
      <c r="T73" s="77" t="str">
        <f>IF(Q73="","",Q73*'C.U. tab. riassuntiva'!$I$16)</f>
        <v/>
      </c>
      <c r="U73" s="77"/>
    </row>
    <row r="74" spans="1:24">
      <c r="A74" s="299"/>
      <c r="C74" s="284">
        <f>SUM(C68:C73)</f>
        <v>30.89866</v>
      </c>
      <c r="D74" s="284">
        <f>SUM(D68:D73)</f>
        <v>14.76</v>
      </c>
      <c r="E74" s="284">
        <f>SUM(E68:E73)</f>
        <v>23.7682</v>
      </c>
      <c r="F74" s="284">
        <f>SUM(F68:F73)</f>
        <v>2.952</v>
      </c>
      <c r="G74" s="62"/>
      <c r="H74" s="284">
        <f>SUM(H68:H73)</f>
        <v>30.131139999999998</v>
      </c>
      <c r="I74" s="284">
        <f>SUM(I68:I73)</f>
        <v>23.616</v>
      </c>
      <c r="J74" s="284">
        <f>SUM(J68:J73)</f>
        <v>23.177799999999998</v>
      </c>
      <c r="K74" s="284">
        <f>SUM(K68:K73)</f>
        <v>8.8559999999999999</v>
      </c>
      <c r="L74" s="62"/>
      <c r="M74" s="284">
        <f>SUM(M68:M73)</f>
        <v>30.131139999999998</v>
      </c>
      <c r="N74" s="284">
        <f>SUM(N68:N73)</f>
        <v>23.616</v>
      </c>
      <c r="O74" s="284">
        <f>SUM(O68:O73)</f>
        <v>23.177799999999998</v>
      </c>
      <c r="P74" s="284">
        <f>SUM(P68:P73)</f>
        <v>8.8559999999999999</v>
      </c>
      <c r="Q74" s="62"/>
      <c r="R74" s="284">
        <f>SUM(R68:R73)</f>
        <v>30.131139999999998</v>
      </c>
      <c r="S74" s="284">
        <f>SUM(S68:S73)</f>
        <v>23.616</v>
      </c>
      <c r="T74" s="284">
        <f>SUM(T68:T73)</f>
        <v>23.177799999999998</v>
      </c>
      <c r="U74" s="284">
        <f>SUM(U68:U73)</f>
        <v>8.8559999999999999</v>
      </c>
    </row>
    <row r="75" spans="1:24">
      <c r="C75" s="471">
        <f>C74+D74</f>
        <v>45.658659999999998</v>
      </c>
      <c r="D75" s="471"/>
      <c r="E75" s="471">
        <f>E74+F74</f>
        <v>26.720199999999998</v>
      </c>
      <c r="F75" s="471"/>
      <c r="H75" s="471">
        <f>H74+I74</f>
        <v>53.747140000000002</v>
      </c>
      <c r="I75" s="471"/>
      <c r="J75" s="471">
        <f>J74+K74</f>
        <v>32.033799999999999</v>
      </c>
      <c r="K75" s="471"/>
      <c r="L75" s="314"/>
      <c r="M75" s="471">
        <f>M74+N74</f>
        <v>53.747140000000002</v>
      </c>
      <c r="N75" s="471"/>
      <c r="O75" s="471">
        <f>O74+P74</f>
        <v>32.033799999999999</v>
      </c>
      <c r="P75" s="471"/>
      <c r="Q75" s="314"/>
      <c r="R75" s="471">
        <f>R74+S74</f>
        <v>53.747140000000002</v>
      </c>
      <c r="S75" s="471"/>
      <c r="T75" s="471">
        <f>T74+U74</f>
        <v>32.033799999999999</v>
      </c>
      <c r="U75" s="471"/>
    </row>
    <row r="76" spans="1:24">
      <c r="C76" s="304"/>
      <c r="D76" s="304"/>
      <c r="E76" s="304"/>
      <c r="F76" s="304"/>
      <c r="I76" s="304"/>
      <c r="J76" s="304"/>
      <c r="K76" s="304"/>
      <c r="L76" s="304"/>
      <c r="O76" s="304"/>
      <c r="P76" s="304"/>
      <c r="Q76" s="304"/>
      <c r="R76" s="304"/>
      <c r="U76" s="304"/>
      <c r="V76" s="304"/>
      <c r="W76" s="304"/>
      <c r="X76" s="304"/>
    </row>
    <row r="78" spans="1:24">
      <c r="A78" s="433" t="s">
        <v>287</v>
      </c>
      <c r="B78" s="12"/>
      <c r="C78" s="434" t="s">
        <v>293</v>
      </c>
      <c r="D78" s="142"/>
      <c r="E78" s="142"/>
      <c r="F78" s="142"/>
      <c r="G78" s="142"/>
      <c r="H78" s="434" t="s">
        <v>303</v>
      </c>
      <c r="I78" s="142"/>
      <c r="J78" s="142"/>
      <c r="K78" s="142"/>
      <c r="L78" s="142"/>
      <c r="M78" s="434" t="s">
        <v>331</v>
      </c>
      <c r="N78" s="142"/>
      <c r="O78" s="142"/>
      <c r="P78" s="142"/>
      <c r="Q78" s="142"/>
      <c r="R78" s="434" t="s">
        <v>330</v>
      </c>
      <c r="S78" s="142"/>
      <c r="T78" s="142"/>
      <c r="U78" s="142"/>
    </row>
    <row r="79" spans="1:24" ht="18.75">
      <c r="A79" s="334" t="s">
        <v>340</v>
      </c>
      <c r="B79" s="142"/>
      <c r="C79" s="435" t="s">
        <v>304</v>
      </c>
      <c r="D79" s="435" t="s">
        <v>305</v>
      </c>
      <c r="E79" s="435" t="s">
        <v>306</v>
      </c>
      <c r="F79" s="436" t="s">
        <v>307</v>
      </c>
      <c r="G79" s="281"/>
      <c r="H79" s="435" t="s">
        <v>304</v>
      </c>
      <c r="I79" s="435" t="s">
        <v>305</v>
      </c>
      <c r="J79" s="435" t="s">
        <v>306</v>
      </c>
      <c r="K79" s="436" t="s">
        <v>307</v>
      </c>
      <c r="L79" s="281"/>
      <c r="M79" s="435" t="s">
        <v>304</v>
      </c>
      <c r="N79" s="435" t="s">
        <v>305</v>
      </c>
      <c r="O79" s="435" t="s">
        <v>306</v>
      </c>
      <c r="P79" s="436" t="s">
        <v>307</v>
      </c>
      <c r="Q79" s="281"/>
      <c r="R79" s="435" t="s">
        <v>304</v>
      </c>
      <c r="S79" s="435" t="s">
        <v>305</v>
      </c>
      <c r="T79" s="435" t="s">
        <v>306</v>
      </c>
      <c r="U79" s="436" t="s">
        <v>307</v>
      </c>
    </row>
    <row r="80" spans="1:24" ht="15.75">
      <c r="A80" s="334"/>
      <c r="B80" s="142"/>
      <c r="C80" s="435"/>
      <c r="D80" s="435"/>
      <c r="E80" s="435"/>
      <c r="F80" s="436"/>
      <c r="G80" s="281"/>
      <c r="H80" s="435"/>
      <c r="I80" s="435"/>
      <c r="J80" s="435"/>
      <c r="K80" s="436"/>
      <c r="L80" s="281"/>
      <c r="M80" s="435"/>
      <c r="N80" s="435"/>
      <c r="O80" s="435"/>
      <c r="P80" s="436"/>
      <c r="Q80" s="281"/>
      <c r="R80" s="435"/>
      <c r="S80" s="435"/>
      <c r="T80" s="435"/>
      <c r="U80" s="436"/>
    </row>
    <row r="81" spans="1:21">
      <c r="A81" s="437" t="s">
        <v>288</v>
      </c>
      <c r="B81" s="160"/>
      <c r="C81" s="338" t="str">
        <f>IF(B81="","",B81*'C.U. tab. riassuntiva'!$G$7)</f>
        <v/>
      </c>
      <c r="D81" s="338" t="str">
        <f>IF(B81="","",B81*'C.U. tab. riassuntiva'!$H$7)</f>
        <v/>
      </c>
      <c r="E81" s="338" t="str">
        <f>IF(B81="","",B81*'C.U. tab. riassuntiva'!$I$7)</f>
        <v/>
      </c>
      <c r="F81" s="338" t="str">
        <f>IF(B81="","",B81*'C.U. tab. riassuntiva'!$J$7)</f>
        <v/>
      </c>
      <c r="G81" s="24"/>
      <c r="H81" s="338" t="str">
        <f>IF(G81="","",G81*'C.U. tab. riassuntiva'!$G$4)</f>
        <v/>
      </c>
      <c r="I81" s="338" t="str">
        <f>IF(G81="","",G81*'C.U. tab. riassuntiva'!$H$4)</f>
        <v/>
      </c>
      <c r="J81" s="338" t="str">
        <f>IF(G81="","",G81*'C.U. tab. riassuntiva'!$I$4)</f>
        <v/>
      </c>
      <c r="K81" s="338" t="str">
        <f>IF(G81="","",G81*'C.U. tab. riassuntiva'!$J$4)</f>
        <v/>
      </c>
      <c r="L81" s="24"/>
      <c r="M81" s="338" t="str">
        <f>IF(L81="","",L81*'C.U. tab. riassuntiva'!$G$4)</f>
        <v/>
      </c>
      <c r="N81" s="338" t="str">
        <f>IF(L81="","",L81*'C.U. tab. riassuntiva'!$H$4)</f>
        <v/>
      </c>
      <c r="O81" s="338" t="str">
        <f>IF(L81="","",L81*'C.U. tab. riassuntiva'!$I$4)</f>
        <v/>
      </c>
      <c r="P81" s="338" t="str">
        <f>IF(L81="","",L81*'C.U. tab. riassuntiva'!$J$4)</f>
        <v/>
      </c>
      <c r="Q81" s="24"/>
      <c r="R81" s="338" t="str">
        <f>IF(Q81="","",Q81*'C.U. tab. riassuntiva'!$G$4)</f>
        <v/>
      </c>
      <c r="S81" s="338" t="str">
        <f>IF(Q81="","",Q81*'C.U. tab. riassuntiva'!$H$4)</f>
        <v/>
      </c>
      <c r="T81" s="338" t="str">
        <f>IF(Q81="","",Q81*'C.U. tab. riassuntiva'!$I$4)</f>
        <v/>
      </c>
      <c r="U81" s="338" t="str">
        <f>IF(Q81="","",Q81*'C.U. tab. riassuntiva'!$J$4)</f>
        <v/>
      </c>
    </row>
    <row r="82" spans="1:21">
      <c r="A82" s="437" t="s">
        <v>289</v>
      </c>
      <c r="B82" s="160">
        <v>1.7</v>
      </c>
      <c r="C82" s="338">
        <f>IF(B82="","",B82*'C.U. tab. riassuntiva'!$G$9)</f>
        <v>3.6465000000000001</v>
      </c>
      <c r="D82" s="338">
        <f>IF(B82="","",B82*'C.U. tab. riassuntiva'!$H$9)</f>
        <v>1.2749999999999999</v>
      </c>
      <c r="E82" s="338">
        <f>IF(B82="","",B82*'C.U. tab. riassuntiva'!$I$9)</f>
        <v>2.8049999999999997</v>
      </c>
      <c r="F82" s="338">
        <f>IF(B82="","",B82*'C.U. tab. riassuntiva'!$J$9)</f>
        <v>0</v>
      </c>
      <c r="G82" s="24">
        <v>1.7</v>
      </c>
      <c r="H82" s="338">
        <f>IF(G82="","",G82*'C.U. tab. riassuntiva'!$G$10)</f>
        <v>9.3041</v>
      </c>
      <c r="I82" s="338">
        <f>IF(G82="","",G82*'C.U. tab. riassuntiva'!$H$10)</f>
        <v>10.199999999999999</v>
      </c>
      <c r="J82" s="338">
        <f>IF(G82="","",G82*'C.U. tab. riassuntiva'!$I$10)</f>
        <v>7.157</v>
      </c>
      <c r="K82" s="338">
        <f>IF(G82="","",G82*'C.U. tab. riassuntiva'!$J$10)</f>
        <v>4.08</v>
      </c>
      <c r="L82" s="24">
        <v>1.7</v>
      </c>
      <c r="M82" s="338">
        <f>IF(L82="","",L82*'C.U. tab. riassuntiva'!$G$10)</f>
        <v>9.3041</v>
      </c>
      <c r="N82" s="338">
        <f>IF(L82="","",L82*'C.U. tab. riassuntiva'!$H$10)</f>
        <v>10.199999999999999</v>
      </c>
      <c r="O82" s="338">
        <f>IF(L82="","",L82*'C.U. tab. riassuntiva'!$I$10)</f>
        <v>7.157</v>
      </c>
      <c r="P82" s="338">
        <f>IF(L82="","",L82*'C.U. tab. riassuntiva'!$J$10)</f>
        <v>4.08</v>
      </c>
      <c r="Q82" s="24">
        <v>1.7</v>
      </c>
      <c r="R82" s="338">
        <f>IF(Q82="","",Q82*'C.U. tab. riassuntiva'!$G$10)</f>
        <v>9.3041</v>
      </c>
      <c r="S82" s="338">
        <f>IF(Q82="","",Q82*'C.U. tab. riassuntiva'!$H$10)</f>
        <v>10.199999999999999</v>
      </c>
      <c r="T82" s="338">
        <f>IF(Q82="","",Q82*'C.U. tab. riassuntiva'!$I$10)</f>
        <v>7.157</v>
      </c>
      <c r="U82" s="338">
        <f>IF(Q82="","",Q82*'C.U. tab. riassuntiva'!$J$10)</f>
        <v>4.08</v>
      </c>
    </row>
    <row r="83" spans="1:21">
      <c r="A83" s="299" t="s">
        <v>290</v>
      </c>
      <c r="B83" s="160">
        <f>(3.4/2)*1.1</f>
        <v>1.87</v>
      </c>
      <c r="C83" s="304">
        <f>IF(B83="","",B83*'C.U. tab. riassuntiva'!$G$11)</f>
        <v>13.162647553424202</v>
      </c>
      <c r="D83" s="304">
        <f>IF(B83="","",B83*'C.U. tab. riassuntiva'!$H$11)</f>
        <v>11.22</v>
      </c>
      <c r="E83" s="304">
        <f>IF(B83="","",B83*'C.U. tab. riassuntiva'!$I$11)</f>
        <v>10.125113502634001</v>
      </c>
      <c r="F83" s="304">
        <f>IF(B83="","",B83*'C.U. tab. riassuntiva'!$J$11)</f>
        <v>4.4880000000000004</v>
      </c>
      <c r="G83" s="24">
        <f>(3.4/2)*1.1</f>
        <v>1.87</v>
      </c>
      <c r="H83" s="304">
        <f>IF(G83="","",G83*'C.U. tab. riassuntiva'!$G$11)</f>
        <v>13.162647553424202</v>
      </c>
      <c r="I83" s="304">
        <f>IF(G83="","",G83*'C.U. tab. riassuntiva'!$H$11)</f>
        <v>11.22</v>
      </c>
      <c r="J83" s="304">
        <f>IF(G83="","",G83*'C.U. tab. riassuntiva'!$I$11)</f>
        <v>10.125113502634001</v>
      </c>
      <c r="K83" s="304">
        <f>IF(G83="","",G83*'C.U. tab. riassuntiva'!$J$11)</f>
        <v>4.4880000000000004</v>
      </c>
      <c r="L83" s="24">
        <f>(3.4/2)*1.1</f>
        <v>1.87</v>
      </c>
      <c r="M83" s="304">
        <f>IF(L83="","",L83*'C.U. tab. riassuntiva'!$G$11)</f>
        <v>13.162647553424202</v>
      </c>
      <c r="N83" s="304">
        <f>IF(L83="","",L83*'C.U. tab. riassuntiva'!$H$11)</f>
        <v>11.22</v>
      </c>
      <c r="O83" s="304">
        <f>IF(L83="","",L83*'C.U. tab. riassuntiva'!$I$11)</f>
        <v>10.125113502634001</v>
      </c>
      <c r="P83" s="304">
        <f>IF(L83="","",L83*'C.U. tab. riassuntiva'!$J$11)</f>
        <v>4.4880000000000004</v>
      </c>
      <c r="Q83" s="24">
        <f>(3.4/2)*1.1</f>
        <v>1.87</v>
      </c>
      <c r="R83" s="304">
        <f>IF(Q83="","",Q83*'C.U. tab. riassuntiva'!$G$11)</f>
        <v>13.162647553424202</v>
      </c>
      <c r="S83" s="304">
        <f>IF(Q83="","",Q83*'C.U. tab. riassuntiva'!$H$11)</f>
        <v>11.22</v>
      </c>
      <c r="T83" s="304">
        <f>IF(Q83="","",Q83*'C.U. tab. riassuntiva'!$I$11)</f>
        <v>10.125113502634001</v>
      </c>
      <c r="U83" s="304">
        <f>IF(Q83="","",Q83*'C.U. tab. riassuntiva'!$J$11)</f>
        <v>4.4880000000000004</v>
      </c>
    </row>
    <row r="84" spans="1:21">
      <c r="A84" s="299" t="s">
        <v>291</v>
      </c>
      <c r="B84" s="305"/>
      <c r="C84" s="304" t="str">
        <f>IF(B84="","",B84*'C.U. tab. riassuntiva'!$G$12)</f>
        <v/>
      </c>
      <c r="D84" s="304"/>
      <c r="E84" s="304" t="str">
        <f>IF(B84="","",B84*'C.U. tab. riassuntiva'!$I$12)</f>
        <v/>
      </c>
      <c r="F84" s="304"/>
      <c r="G84" s="3"/>
      <c r="H84" s="304" t="str">
        <f>IF(G84="","",G84*'C.U. tab. riassuntiva'!$G$12)</f>
        <v/>
      </c>
      <c r="I84" s="304"/>
      <c r="J84" s="304" t="str">
        <f>IF(G84="","",G84*'C.U. tab. riassuntiva'!$I$12)</f>
        <v/>
      </c>
      <c r="K84" s="304"/>
      <c r="L84" s="3"/>
      <c r="M84" s="304" t="str">
        <f>IF(L84="","",L84*'C.U. tab. riassuntiva'!$G$13)</f>
        <v/>
      </c>
      <c r="N84" s="304"/>
      <c r="O84" s="304" t="str">
        <f>IF(L84="","",L84*'C.U. tab. riassuntiva'!$I$13)</f>
        <v/>
      </c>
      <c r="P84" s="304"/>
      <c r="Q84" s="3"/>
      <c r="R84" s="304" t="str">
        <f>IF(Q84="","",Q84*'C.U. tab. riassuntiva'!$G$13)</f>
        <v/>
      </c>
      <c r="S84" s="304"/>
      <c r="T84" s="304" t="str">
        <f>IF(Q84="","",Q84*'C.U. tab. riassuntiva'!$I$13)</f>
        <v/>
      </c>
      <c r="U84" s="304"/>
    </row>
    <row r="85" spans="1:21">
      <c r="A85" s="299" t="s">
        <v>292</v>
      </c>
      <c r="B85" s="305">
        <v>1</v>
      </c>
      <c r="C85" s="304">
        <f>IF(B85="","",B85*'C.U. tab. riassuntiva'!$G$14)</f>
        <v>3.9715000000000003</v>
      </c>
      <c r="D85" s="304"/>
      <c r="E85" s="304">
        <f>IF(B85="","",B85*'C.U. tab. riassuntiva'!$I$14)</f>
        <v>3.0550000000000002</v>
      </c>
      <c r="F85" s="304"/>
      <c r="G85" s="3">
        <v>1</v>
      </c>
      <c r="H85" s="304">
        <f>IF(G85="","",G85*'C.U. tab. riassuntiva'!$G$14)</f>
        <v>3.9715000000000003</v>
      </c>
      <c r="I85" s="304"/>
      <c r="J85" s="304">
        <f>IF(G85="","",G85*'C.U. tab. riassuntiva'!$I$14)</f>
        <v>3.0550000000000002</v>
      </c>
      <c r="K85" s="304"/>
      <c r="L85" s="3">
        <v>1</v>
      </c>
      <c r="M85" s="304">
        <f>IF(L85="","",L85*'C.U. tab. riassuntiva'!$G$14)</f>
        <v>3.9715000000000003</v>
      </c>
      <c r="N85" s="304"/>
      <c r="O85" s="304">
        <f>IF(L85="","",L85*'C.U. tab. riassuntiva'!$I$14)</f>
        <v>3.0550000000000002</v>
      </c>
      <c r="P85" s="304"/>
      <c r="Q85" s="3">
        <v>1</v>
      </c>
      <c r="R85" s="304">
        <f>IF(Q85="","",Q85*'C.U. tab. riassuntiva'!$G$14)</f>
        <v>3.9715000000000003</v>
      </c>
      <c r="S85" s="304"/>
      <c r="T85" s="304">
        <f>IF(Q85="","",Q85*'C.U. tab. riassuntiva'!$I$14)</f>
        <v>3.0550000000000002</v>
      </c>
      <c r="U85" s="304"/>
    </row>
    <row r="86" spans="1:21">
      <c r="A86" s="299" t="s">
        <v>15</v>
      </c>
      <c r="B86" s="305">
        <v>1</v>
      </c>
      <c r="C86" s="77">
        <f>IF(B86="","",B86*'C.U. tab. riassuntiva'!$G$16)</f>
        <v>7.4360000000000008</v>
      </c>
      <c r="D86" s="77"/>
      <c r="E86" s="77">
        <f>IF(B86="","",B86*'C.U. tab. riassuntiva'!$I$16)</f>
        <v>5.7200000000000006</v>
      </c>
      <c r="F86" s="77"/>
      <c r="G86" s="3">
        <v>1</v>
      </c>
      <c r="H86" s="77">
        <f>IF(G86="","",G86*'C.U. tab. riassuntiva'!$G$16)</f>
        <v>7.4360000000000008</v>
      </c>
      <c r="I86" s="77"/>
      <c r="J86" s="77">
        <f>IF(G86="","",G86*'C.U. tab. riassuntiva'!$I$16)</f>
        <v>5.7200000000000006</v>
      </c>
      <c r="K86" s="77"/>
      <c r="L86" s="3">
        <v>1</v>
      </c>
      <c r="M86" s="77">
        <f>IF(L86="","",L86*'C.U. tab. riassuntiva'!$G$16)</f>
        <v>7.4360000000000008</v>
      </c>
      <c r="N86" s="77"/>
      <c r="O86" s="77">
        <f>IF(L86="","",L86*'C.U. tab. riassuntiva'!$I$16)</f>
        <v>5.7200000000000006</v>
      </c>
      <c r="P86" s="77"/>
      <c r="Q86" s="3">
        <v>1</v>
      </c>
      <c r="R86" s="77">
        <f>IF(Q86="","",Q86*'C.U. tab. riassuntiva'!$G$16)</f>
        <v>7.4360000000000008</v>
      </c>
      <c r="S86" s="77"/>
      <c r="T86" s="77">
        <f>IF(Q86="","",Q86*'C.U. tab. riassuntiva'!$I$16)</f>
        <v>5.7200000000000006</v>
      </c>
      <c r="U86" s="77"/>
    </row>
    <row r="87" spans="1:21">
      <c r="A87" s="299"/>
      <c r="C87" s="284">
        <f>SUM(C81:C86)</f>
        <v>28.216647553424202</v>
      </c>
      <c r="D87" s="284">
        <f>SUM(D81:D86)</f>
        <v>12.495000000000001</v>
      </c>
      <c r="E87" s="284">
        <f>SUM(E81:E86)</f>
        <v>21.705113502633999</v>
      </c>
      <c r="F87" s="284">
        <f>SUM(F81:F86)</f>
        <v>4.4880000000000004</v>
      </c>
      <c r="G87" s="62"/>
      <c r="H87" s="284">
        <f>SUM(H81:H86)</f>
        <v>33.874247553424205</v>
      </c>
      <c r="I87" s="284">
        <f>SUM(I81:I86)</f>
        <v>21.42</v>
      </c>
      <c r="J87" s="284">
        <f>SUM(J81:J86)</f>
        <v>26.057113502634003</v>
      </c>
      <c r="K87" s="284">
        <f>SUM(K81:K86)</f>
        <v>8.5680000000000014</v>
      </c>
      <c r="L87" s="62"/>
      <c r="M87" s="284">
        <f>SUM(M81:M86)</f>
        <v>33.874247553424205</v>
      </c>
      <c r="N87" s="284">
        <f>SUM(N81:N86)</f>
        <v>21.42</v>
      </c>
      <c r="O87" s="284">
        <f>SUM(O81:O86)</f>
        <v>26.057113502634003</v>
      </c>
      <c r="P87" s="284">
        <f>SUM(P81:P86)</f>
        <v>8.5680000000000014</v>
      </c>
      <c r="Q87" s="62"/>
      <c r="R87" s="284">
        <f>SUM(R81:R86)</f>
        <v>33.874247553424205</v>
      </c>
      <c r="S87" s="284">
        <f>SUM(S81:S86)</f>
        <v>21.42</v>
      </c>
      <c r="T87" s="284">
        <f>SUM(T81:T86)</f>
        <v>26.057113502634003</v>
      </c>
      <c r="U87" s="284">
        <f>SUM(U81:U86)</f>
        <v>8.5680000000000014</v>
      </c>
    </row>
    <row r="88" spans="1:21">
      <c r="A88" s="43"/>
      <c r="C88" s="471">
        <f>C87+D87</f>
        <v>40.7116475534242</v>
      </c>
      <c r="D88" s="472"/>
      <c r="E88" s="471">
        <f>E87+F87</f>
        <v>26.193113502633999</v>
      </c>
      <c r="F88" s="472"/>
      <c r="H88" s="471">
        <f>H87+I87</f>
        <v>55.294247553424206</v>
      </c>
      <c r="I88" s="471"/>
      <c r="J88" s="471">
        <f>J87+K87</f>
        <v>34.625113502634008</v>
      </c>
      <c r="K88" s="471"/>
      <c r="L88" s="314"/>
      <c r="M88" s="471">
        <f>M87+N87</f>
        <v>55.294247553424206</v>
      </c>
      <c r="N88" s="471"/>
      <c r="O88" s="471">
        <f>O87+P87</f>
        <v>34.625113502634008</v>
      </c>
      <c r="P88" s="471"/>
      <c r="Q88" s="314"/>
      <c r="R88" s="471">
        <f>R87+S87</f>
        <v>55.294247553424206</v>
      </c>
      <c r="S88" s="471"/>
      <c r="T88" s="471">
        <f>T87+U87</f>
        <v>34.625113502634008</v>
      </c>
      <c r="U88" s="471"/>
    </row>
    <row r="89" spans="1:21">
      <c r="A89" s="316" t="s">
        <v>229</v>
      </c>
    </row>
    <row r="90" spans="1:21">
      <c r="A90" s="272" t="s">
        <v>287</v>
      </c>
      <c r="B90" s="43"/>
      <c r="C90" s="289" t="s">
        <v>293</v>
      </c>
      <c r="H90" s="289" t="s">
        <v>303</v>
      </c>
      <c r="M90" s="289" t="s">
        <v>331</v>
      </c>
      <c r="R90" s="289" t="s">
        <v>330</v>
      </c>
    </row>
    <row r="91" spans="1:21" ht="18.75">
      <c r="A91" s="303" t="s">
        <v>336</v>
      </c>
      <c r="C91" s="285" t="s">
        <v>304</v>
      </c>
      <c r="D91" s="285" t="s">
        <v>305</v>
      </c>
      <c r="E91" s="285" t="s">
        <v>306</v>
      </c>
      <c r="F91" s="286" t="s">
        <v>307</v>
      </c>
      <c r="G91" s="62"/>
      <c r="H91" s="285" t="s">
        <v>304</v>
      </c>
      <c r="I91" s="285" t="s">
        <v>305</v>
      </c>
      <c r="J91" s="285" t="s">
        <v>306</v>
      </c>
      <c r="K91" s="286" t="s">
        <v>307</v>
      </c>
      <c r="L91" s="62"/>
      <c r="M91" s="285" t="s">
        <v>304</v>
      </c>
      <c r="N91" s="285" t="s">
        <v>305</v>
      </c>
      <c r="O91" s="285" t="s">
        <v>306</v>
      </c>
      <c r="P91" s="286" t="s">
        <v>307</v>
      </c>
      <c r="Q91" s="62"/>
      <c r="R91" s="285" t="s">
        <v>304</v>
      </c>
      <c r="S91" s="285" t="s">
        <v>305</v>
      </c>
      <c r="T91" s="285" t="s">
        <v>306</v>
      </c>
      <c r="U91" s="286" t="s">
        <v>307</v>
      </c>
    </row>
    <row r="92" spans="1:21" ht="15.75">
      <c r="A92" s="303"/>
      <c r="C92" s="285"/>
      <c r="D92" s="285"/>
      <c r="E92" s="285"/>
      <c r="F92" s="286"/>
      <c r="G92" s="62"/>
      <c r="H92" s="285"/>
      <c r="I92" s="285"/>
      <c r="J92" s="285"/>
      <c r="K92" s="286"/>
      <c r="L92" s="62"/>
      <c r="M92" s="285"/>
      <c r="N92" s="285"/>
      <c r="O92" s="285"/>
      <c r="P92" s="286"/>
      <c r="Q92" s="62"/>
      <c r="R92" s="285"/>
      <c r="S92" s="285"/>
      <c r="T92" s="285"/>
      <c r="U92" s="286"/>
    </row>
    <row r="93" spans="1:21">
      <c r="A93" s="299" t="s">
        <v>288</v>
      </c>
      <c r="B93" s="305">
        <f>0.5+1.2*(4.55/2)</f>
        <v>3.23</v>
      </c>
      <c r="C93" s="304">
        <f>IF(B93="","",B93*'C.U. tab. riassuntiva'!$G$7)</f>
        <v>17.677789999999998</v>
      </c>
      <c r="D93" s="304">
        <f>IF(B93="","",B93*'C.U. tab. riassuntiva'!$H$7)</f>
        <v>9.69</v>
      </c>
      <c r="E93" s="304">
        <f>IF(B93="","",B93*'C.U. tab. riassuntiva'!$I$7)</f>
        <v>13.5983</v>
      </c>
      <c r="F93" s="304">
        <f>IF(B93="","",B93*'C.U. tab. riassuntiva'!$J$7)</f>
        <v>1.9379999999999999</v>
      </c>
      <c r="G93" s="3">
        <f>0.5+1.2*(5.25/2)</f>
        <v>3.65</v>
      </c>
      <c r="H93" s="304">
        <f>IF(G93="","",G93*'C.U. tab. riassuntiva'!$G$4)</f>
        <v>19.407050000000002</v>
      </c>
      <c r="I93" s="304">
        <f>IF(G93="","",G93*'C.U. tab. riassuntiva'!$H$4)</f>
        <v>17.52</v>
      </c>
      <c r="J93" s="304">
        <f>IF(G93="","",G93*'C.U. tab. riassuntiva'!$I$4)</f>
        <v>14.9285</v>
      </c>
      <c r="K93" s="304">
        <f>IF(G93="","",G93*'C.U. tab. riassuntiva'!$J$4)</f>
        <v>6.5699999999999994</v>
      </c>
      <c r="L93" s="3">
        <f>0.5+1.2*(5.25/2)</f>
        <v>3.65</v>
      </c>
      <c r="M93" s="304">
        <f>IF(L93="","",L93*'C.U. tab. riassuntiva'!$G$4)</f>
        <v>19.407050000000002</v>
      </c>
      <c r="N93" s="304">
        <f>IF(L93="","",L93*'C.U. tab. riassuntiva'!$H$4)</f>
        <v>17.52</v>
      </c>
      <c r="O93" s="304">
        <f>IF(L93="","",L93*'C.U. tab. riassuntiva'!$I$4)</f>
        <v>14.9285</v>
      </c>
      <c r="P93" s="304">
        <f>IF(L93="","",L93*'C.U. tab. riassuntiva'!$J$4)</f>
        <v>6.5699999999999994</v>
      </c>
      <c r="Q93" s="3">
        <f>0.5+1.2*(5.25/2)</f>
        <v>3.65</v>
      </c>
      <c r="R93" s="304">
        <f>IF(Q93="","",Q93*'C.U. tab. riassuntiva'!$G$4)</f>
        <v>19.407050000000002</v>
      </c>
      <c r="S93" s="304">
        <f>IF(Q93="","",Q93*'C.U. tab. riassuntiva'!$H$4)</f>
        <v>17.52</v>
      </c>
      <c r="T93" s="304">
        <f>IF(Q93="","",Q93*'C.U. tab. riassuntiva'!$I$4)</f>
        <v>14.9285</v>
      </c>
      <c r="U93" s="304">
        <f>IF(Q93="","",Q93*'C.U. tab. riassuntiva'!$J$4)</f>
        <v>6.5699999999999994</v>
      </c>
    </row>
    <row r="94" spans="1:21">
      <c r="A94" s="299" t="s">
        <v>289</v>
      </c>
      <c r="B94" s="305"/>
      <c r="C94" s="304" t="str">
        <f>IF(B94="","",B94*'C.U. tab. riassuntiva'!$G$9)</f>
        <v/>
      </c>
      <c r="D94" s="304" t="str">
        <f>IF(B94="","",B94*'C.U. tab. riassuntiva'!$H$9)</f>
        <v/>
      </c>
      <c r="E94" s="304" t="str">
        <f>IF(B94="","",B94*'C.U. tab. riassuntiva'!$I$9)</f>
        <v/>
      </c>
      <c r="F94" s="304" t="str">
        <f>IF(B94="","",B94*'C.U. tab. riassuntiva'!$J$9)</f>
        <v/>
      </c>
      <c r="G94" s="3"/>
      <c r="H94" s="304" t="str">
        <f>IF(G94="","",G94*'C.U. tab. riassuntiva'!$G$10)</f>
        <v/>
      </c>
      <c r="I94" s="304" t="str">
        <f>IF(G94="","",G94*'C.U. tab. riassuntiva'!$H$10)</f>
        <v/>
      </c>
      <c r="J94" s="304" t="str">
        <f>IF(G94="","",G94*'C.U. tab. riassuntiva'!$I$10)</f>
        <v/>
      </c>
      <c r="K94" s="304" t="str">
        <f>IF(G94="","",G94*'C.U. tab. riassuntiva'!$J$10)</f>
        <v/>
      </c>
      <c r="L94" s="3"/>
      <c r="M94" s="304" t="str">
        <f>IF(L94="","",L94*'C.U. tab. riassuntiva'!$G$10)</f>
        <v/>
      </c>
      <c r="N94" s="304" t="str">
        <f>IF(L94="","",L94*'C.U. tab. riassuntiva'!$H$10)</f>
        <v/>
      </c>
      <c r="O94" s="304" t="str">
        <f>IF(L94="","",L94*'C.U. tab. riassuntiva'!$I$10)</f>
        <v/>
      </c>
      <c r="P94" s="304" t="str">
        <f>IF(L94="","",L94*'C.U. tab. riassuntiva'!$J$10)</f>
        <v/>
      </c>
      <c r="Q94" s="3"/>
      <c r="R94" s="304" t="str">
        <f>IF(Q94="","",Q94*'C.U. tab. riassuntiva'!$G$10)</f>
        <v/>
      </c>
      <c r="S94" s="304" t="str">
        <f>IF(Q94="","",Q94*'C.U. tab. riassuntiva'!$H$10)</f>
        <v/>
      </c>
      <c r="T94" s="304" t="str">
        <f>IF(Q94="","",Q94*'C.U. tab. riassuntiva'!$I$10)</f>
        <v/>
      </c>
      <c r="U94" s="304" t="str">
        <f>IF(Q94="","",Q94*'C.U. tab. riassuntiva'!$J$10)</f>
        <v/>
      </c>
    </row>
    <row r="95" spans="1:21">
      <c r="A95" s="299" t="s">
        <v>290</v>
      </c>
      <c r="B95" s="305"/>
      <c r="C95" s="304" t="str">
        <f>IF(B95="","",B95*'C.U. tab. riassuntiva'!$G$11)</f>
        <v/>
      </c>
      <c r="D95" s="304" t="str">
        <f>IF(B95="","",B95*'C.U. tab. riassuntiva'!$H$11)</f>
        <v/>
      </c>
      <c r="E95" s="304" t="str">
        <f>IF(B95="","",B95*'C.U. tab. riassuntiva'!$I$11)</f>
        <v/>
      </c>
      <c r="F95" s="304" t="str">
        <f>IF(B95="","",B95*'C.U. tab. riassuntiva'!$J$11)</f>
        <v/>
      </c>
      <c r="G95" s="3"/>
      <c r="H95" s="304" t="str">
        <f>IF(G95="","",G95*'C.U. tab. riassuntiva'!$G$11)</f>
        <v/>
      </c>
      <c r="I95" s="304" t="str">
        <f>IF(G95="","",G95*'C.U. tab. riassuntiva'!$H$11)</f>
        <v/>
      </c>
      <c r="J95" s="304" t="str">
        <f>IF(G95="","",G95*'C.U. tab. riassuntiva'!$I$11)</f>
        <v/>
      </c>
      <c r="K95" s="304" t="str">
        <f>IF(G95="","",G95*'C.U. tab. riassuntiva'!$J$11)</f>
        <v/>
      </c>
      <c r="L95" s="3"/>
      <c r="M95" s="304" t="str">
        <f>IF(L95="","",L95*'C.U. tab. riassuntiva'!$G$11)</f>
        <v/>
      </c>
      <c r="N95" s="304" t="str">
        <f>IF(L95="","",L95*'C.U. tab. riassuntiva'!$H$11)</f>
        <v/>
      </c>
      <c r="O95" s="304" t="str">
        <f>IF(L95="","",L95*'C.U. tab. riassuntiva'!$I$11)</f>
        <v/>
      </c>
      <c r="P95" s="304" t="str">
        <f>IF(L95="","",L95*'C.U. tab. riassuntiva'!$J$11)</f>
        <v/>
      </c>
      <c r="Q95" s="3"/>
      <c r="R95" s="304" t="str">
        <f>IF(Q95="","",Q95*'C.U. tab. riassuntiva'!$G$11)</f>
        <v/>
      </c>
      <c r="S95" s="304" t="str">
        <f>IF(Q95="","",Q95*'C.U. tab. riassuntiva'!$H$11)</f>
        <v/>
      </c>
      <c r="T95" s="304" t="str">
        <f>IF(Q95="","",Q95*'C.U. tab. riassuntiva'!$I$11)</f>
        <v/>
      </c>
      <c r="U95" s="304" t="str">
        <f>IF(Q95="","",Q95*'C.U. tab. riassuntiva'!$J$11)</f>
        <v/>
      </c>
    </row>
    <row r="96" spans="1:21">
      <c r="A96" s="299" t="s">
        <v>291</v>
      </c>
      <c r="B96" s="305">
        <v>1</v>
      </c>
      <c r="C96" s="304">
        <f>IF(B96="","",B96*'C.U. tab. riassuntiva'!$G$12)</f>
        <v>3.8415000000000004</v>
      </c>
      <c r="D96" s="304"/>
      <c r="E96" s="304">
        <f>IF(B96="","",B96*'C.U. tab. riassuntiva'!$I$12)</f>
        <v>2.9550000000000001</v>
      </c>
      <c r="F96" s="304"/>
      <c r="G96" s="3">
        <v>1</v>
      </c>
      <c r="H96" s="304">
        <f>IF(G96="","",G96*'C.U. tab. riassuntiva'!$G$12)</f>
        <v>3.8415000000000004</v>
      </c>
      <c r="I96" s="304"/>
      <c r="J96" s="304">
        <f>IF(G96="","",G96*'C.U. tab. riassuntiva'!$I$12)</f>
        <v>2.9550000000000001</v>
      </c>
      <c r="K96" s="304"/>
      <c r="L96" s="3">
        <v>1</v>
      </c>
      <c r="M96" s="304">
        <f>IF(L96="","",L96*'C.U. tab. riassuntiva'!$G$13)</f>
        <v>4.8165000000000004</v>
      </c>
      <c r="N96" s="304"/>
      <c r="O96" s="304">
        <f>IF(L96="","",L96*'C.U. tab. riassuntiva'!$I$13)</f>
        <v>3.7050000000000001</v>
      </c>
      <c r="P96" s="304"/>
      <c r="Q96" s="3">
        <v>1</v>
      </c>
      <c r="R96" s="304">
        <f>IF(Q96="","",Q96*'C.U. tab. riassuntiva'!$G$13)</f>
        <v>4.8165000000000004</v>
      </c>
      <c r="S96" s="304"/>
      <c r="T96" s="304">
        <f>IF(Q96="","",Q96*'C.U. tab. riassuntiva'!$I$13)</f>
        <v>3.7050000000000001</v>
      </c>
      <c r="U96" s="304"/>
    </row>
    <row r="97" spans="1:21">
      <c r="A97" s="299" t="s">
        <v>292</v>
      </c>
      <c r="C97" s="304" t="str">
        <f>IF(B97="","",B97*'C.U. tab. riassuntiva'!$G$14)</f>
        <v/>
      </c>
      <c r="D97" s="304"/>
      <c r="E97" s="304" t="str">
        <f>IF(B97="","",B97*'C.U. tab. riassuntiva'!$I$14)</f>
        <v/>
      </c>
      <c r="F97" s="304"/>
      <c r="G97" s="62"/>
      <c r="H97" s="304" t="str">
        <f>IF(G97="","",G97*'C.U. tab. riassuntiva'!$G$14)</f>
        <v/>
      </c>
      <c r="I97" s="304"/>
      <c r="J97" s="304" t="str">
        <f>IF(G97="","",G97*'C.U. tab. riassuntiva'!$I$14)</f>
        <v/>
      </c>
      <c r="K97" s="304"/>
      <c r="L97" s="62"/>
      <c r="M97" s="304" t="str">
        <f>IF(L97="","",L97*'C.U. tab. riassuntiva'!$G$14)</f>
        <v/>
      </c>
      <c r="N97" s="304"/>
      <c r="O97" s="304" t="str">
        <f>IF(L97="","",L97*'C.U. tab. riassuntiva'!$I$14)</f>
        <v/>
      </c>
      <c r="P97" s="304"/>
      <c r="Q97" s="62"/>
      <c r="R97" s="304" t="str">
        <f>IF(Q97="","",Q97*'C.U. tab. riassuntiva'!$G$14)</f>
        <v/>
      </c>
      <c r="S97" s="304"/>
      <c r="T97" s="304" t="str">
        <f>IF(Q97="","",Q97*'C.U. tab. riassuntiva'!$I$14)</f>
        <v/>
      </c>
      <c r="U97" s="304"/>
    </row>
    <row r="98" spans="1:21">
      <c r="A98" s="299" t="s">
        <v>15</v>
      </c>
      <c r="C98" s="77" t="str">
        <f>IF(B98="","",B98*'C.U. tab. riassuntiva'!$G$16)</f>
        <v/>
      </c>
      <c r="D98" s="77"/>
      <c r="E98" s="77" t="str">
        <f>IF(B98="","",B98*'C.U. tab. riassuntiva'!$I$16)</f>
        <v/>
      </c>
      <c r="F98" s="77"/>
      <c r="G98" s="62"/>
      <c r="H98" s="77" t="str">
        <f>IF(G98="","",G98*'C.U. tab. riassuntiva'!$G$16)</f>
        <v/>
      </c>
      <c r="I98" s="77"/>
      <c r="J98" s="77" t="str">
        <f>IF(G98="","",G98*'C.U. tab. riassuntiva'!$I$16)</f>
        <v/>
      </c>
      <c r="K98" s="77"/>
      <c r="L98" s="62"/>
      <c r="M98" s="77" t="str">
        <f>IF(L98="","",L98*'C.U. tab. riassuntiva'!$G$16)</f>
        <v/>
      </c>
      <c r="N98" s="77"/>
      <c r="O98" s="77" t="str">
        <f>IF(L98="","",L98*'C.U. tab. riassuntiva'!$I$16)</f>
        <v/>
      </c>
      <c r="P98" s="77"/>
      <c r="Q98" s="62"/>
      <c r="R98" s="77" t="str">
        <f>IF(Q98="","",Q98*'C.U. tab. riassuntiva'!$G$16)</f>
        <v/>
      </c>
      <c r="S98" s="77"/>
      <c r="T98" s="77" t="str">
        <f>IF(Q98="","",Q98*'C.U. tab. riassuntiva'!$I$16)</f>
        <v/>
      </c>
      <c r="U98" s="77"/>
    </row>
    <row r="99" spans="1:21">
      <c r="A99" s="299"/>
      <c r="C99" s="284">
        <f>SUM(C93:C98)</f>
        <v>21.519289999999998</v>
      </c>
      <c r="D99" s="284">
        <f>SUM(D93:D98)</f>
        <v>9.69</v>
      </c>
      <c r="E99" s="284">
        <f>SUM(E93:E98)</f>
        <v>16.5533</v>
      </c>
      <c r="F99" s="284">
        <f>SUM(F93:F98)</f>
        <v>1.9379999999999999</v>
      </c>
      <c r="G99" s="62"/>
      <c r="H99" s="284">
        <f>SUM(H93:H98)</f>
        <v>23.248550000000002</v>
      </c>
      <c r="I99" s="284">
        <f>SUM(I93:I98)</f>
        <v>17.52</v>
      </c>
      <c r="J99" s="284">
        <f>SUM(J93:J98)</f>
        <v>17.883499999999998</v>
      </c>
      <c r="K99" s="284">
        <f>SUM(K93:K98)</f>
        <v>6.5699999999999994</v>
      </c>
      <c r="L99" s="62"/>
      <c r="M99" s="284">
        <f>SUM(M93:M98)</f>
        <v>24.223550000000003</v>
      </c>
      <c r="N99" s="284">
        <f>SUM(N93:N98)</f>
        <v>17.52</v>
      </c>
      <c r="O99" s="284">
        <f>SUM(O93:O98)</f>
        <v>18.633499999999998</v>
      </c>
      <c r="P99" s="284">
        <f>SUM(P93:P98)</f>
        <v>6.5699999999999994</v>
      </c>
      <c r="Q99" s="62"/>
      <c r="R99" s="284">
        <f>SUM(R93:R98)</f>
        <v>24.223550000000003</v>
      </c>
      <c r="S99" s="284">
        <f>SUM(S93:S98)</f>
        <v>17.52</v>
      </c>
      <c r="T99" s="284">
        <f>SUM(T93:T98)</f>
        <v>18.633499999999998</v>
      </c>
      <c r="U99" s="284">
        <f>SUM(U93:U98)</f>
        <v>6.5699999999999994</v>
      </c>
    </row>
    <row r="100" spans="1:21">
      <c r="C100" s="471">
        <f>C99+D99</f>
        <v>31.209289999999996</v>
      </c>
      <c r="D100" s="472"/>
      <c r="E100" s="471">
        <f>E99+F99</f>
        <v>18.491299999999999</v>
      </c>
      <c r="F100" s="472"/>
      <c r="H100" s="471">
        <f>H99+I99</f>
        <v>40.768550000000005</v>
      </c>
      <c r="I100" s="471"/>
      <c r="J100" s="471">
        <f>J99+K99</f>
        <v>24.453499999999998</v>
      </c>
      <c r="K100" s="471"/>
      <c r="L100" s="314"/>
      <c r="M100" s="471">
        <f>M99+N99</f>
        <v>41.743549999999999</v>
      </c>
      <c r="N100" s="471"/>
      <c r="O100" s="471">
        <f>O99+P99</f>
        <v>25.203499999999998</v>
      </c>
      <c r="P100" s="471"/>
      <c r="Q100" s="314"/>
      <c r="R100" s="471">
        <f>R99+S99</f>
        <v>41.743549999999999</v>
      </c>
      <c r="S100" s="471"/>
      <c r="T100" s="471">
        <f>T99+U99</f>
        <v>25.203499999999998</v>
      </c>
      <c r="U100" s="471"/>
    </row>
    <row r="102" spans="1:21">
      <c r="A102" s="272" t="s">
        <v>287</v>
      </c>
      <c r="B102" s="43"/>
      <c r="C102" s="289" t="s">
        <v>293</v>
      </c>
      <c r="H102" s="289" t="s">
        <v>303</v>
      </c>
      <c r="M102" s="289" t="s">
        <v>331</v>
      </c>
      <c r="R102" s="289" t="s">
        <v>330</v>
      </c>
    </row>
    <row r="103" spans="1:21" ht="18.75">
      <c r="A103" s="303" t="s">
        <v>337</v>
      </c>
      <c r="C103" s="285" t="s">
        <v>304</v>
      </c>
      <c r="D103" s="285" t="s">
        <v>305</v>
      </c>
      <c r="E103" s="285" t="s">
        <v>306</v>
      </c>
      <c r="F103" s="286" t="s">
        <v>307</v>
      </c>
      <c r="G103" s="62"/>
      <c r="H103" s="285" t="s">
        <v>304</v>
      </c>
      <c r="I103" s="285" t="s">
        <v>305</v>
      </c>
      <c r="J103" s="285" t="s">
        <v>306</v>
      </c>
      <c r="K103" s="286" t="s">
        <v>307</v>
      </c>
      <c r="L103" s="62"/>
      <c r="M103" s="285" t="s">
        <v>304</v>
      </c>
      <c r="N103" s="285" t="s">
        <v>305</v>
      </c>
      <c r="O103" s="285" t="s">
        <v>306</v>
      </c>
      <c r="P103" s="286" t="s">
        <v>307</v>
      </c>
      <c r="Q103" s="62"/>
      <c r="R103" s="285" t="s">
        <v>304</v>
      </c>
      <c r="S103" s="285" t="s">
        <v>305</v>
      </c>
      <c r="T103" s="285" t="s">
        <v>306</v>
      </c>
      <c r="U103" s="286" t="s">
        <v>307</v>
      </c>
    </row>
    <row r="104" spans="1:21">
      <c r="B104" s="62"/>
      <c r="G104" s="62"/>
      <c r="L104" s="62"/>
      <c r="Q104" s="62"/>
    </row>
    <row r="105" spans="1:21">
      <c r="A105" s="299" t="s">
        <v>288</v>
      </c>
      <c r="B105" s="305">
        <f>1.2*(5.25/2)+1*(3.6/2)</f>
        <v>4.95</v>
      </c>
      <c r="C105" s="304">
        <f>IF(B105="","",B105*'C.U. tab. riassuntiva'!$G$7)</f>
        <v>27.091350000000002</v>
      </c>
      <c r="D105" s="304">
        <f>IF(B105="","",B105*'C.U. tab. riassuntiva'!$H$7)</f>
        <v>14.850000000000001</v>
      </c>
      <c r="E105" s="304">
        <f>IF(B105="","",B105*'C.U. tab. riassuntiva'!$I$7)</f>
        <v>20.839500000000001</v>
      </c>
      <c r="F105" s="304">
        <f>IF(B105="","",B105*'C.U. tab. riassuntiva'!$J$7)</f>
        <v>2.97</v>
      </c>
      <c r="G105" s="3">
        <f>1.2*(5.25/2)+1*(3.6/2)</f>
        <v>4.95</v>
      </c>
      <c r="H105" s="304">
        <f>IF(G105="","",G105*'C.U. tab. riassuntiva'!$G$4)</f>
        <v>26.31915</v>
      </c>
      <c r="I105" s="304">
        <f>IF(G105="","",G105*'C.U. tab. riassuntiva'!$H$4)</f>
        <v>23.76</v>
      </c>
      <c r="J105" s="304">
        <f>IF(G105="","",G105*'C.U. tab. riassuntiva'!$I$4)</f>
        <v>20.2455</v>
      </c>
      <c r="K105" s="304">
        <f>IF(G105="","",G105*'C.U. tab. riassuntiva'!$J$4)</f>
        <v>8.91</v>
      </c>
      <c r="L105" s="3">
        <f>1.2*(5.25/2)+1*(3.6/2)</f>
        <v>4.95</v>
      </c>
      <c r="M105" s="304">
        <f>IF(L105="","",L105*'C.U. tab. riassuntiva'!$G$4)</f>
        <v>26.31915</v>
      </c>
      <c r="N105" s="304">
        <f>IF(L105="","",L105*'C.U. tab. riassuntiva'!$H$4)</f>
        <v>23.76</v>
      </c>
      <c r="O105" s="304">
        <f>IF(L105="","",L105*'C.U. tab. riassuntiva'!$I$4)</f>
        <v>20.2455</v>
      </c>
      <c r="P105" s="304">
        <f>IF(L105="","",L105*'C.U. tab. riassuntiva'!$J$4)</f>
        <v>8.91</v>
      </c>
      <c r="Q105" s="3">
        <f>1.2*(5.25/2)+1*(3.6/2)</f>
        <v>4.95</v>
      </c>
      <c r="R105" s="304">
        <f>IF(Q105="","",Q105*'C.U. tab. riassuntiva'!$G$4)</f>
        <v>26.31915</v>
      </c>
      <c r="S105" s="304">
        <f>IF(Q105="","",Q105*'C.U. tab. riassuntiva'!$H$4)</f>
        <v>23.76</v>
      </c>
      <c r="T105" s="304">
        <f>IF(Q105="","",Q105*'C.U. tab. riassuntiva'!$I$4)</f>
        <v>20.2455</v>
      </c>
      <c r="U105" s="304">
        <f>IF(Q105="","",Q105*'C.U. tab. riassuntiva'!$J$4)</f>
        <v>8.91</v>
      </c>
    </row>
    <row r="106" spans="1:21">
      <c r="A106" s="299" t="s">
        <v>289</v>
      </c>
      <c r="C106" s="304" t="str">
        <f>IF(B106="","",B106*'C.U. tab. riassuntiva'!$G$9)</f>
        <v/>
      </c>
      <c r="D106" s="304" t="str">
        <f>IF(B106="","",B106*'C.U. tab. riassuntiva'!$H$9)</f>
        <v/>
      </c>
      <c r="E106" s="304" t="str">
        <f>IF(B106="","",B106*'C.U. tab. riassuntiva'!$I$9)</f>
        <v/>
      </c>
      <c r="F106" s="304" t="str">
        <f>IF(B106="","",B106*'C.U. tab. riassuntiva'!$J$9)</f>
        <v/>
      </c>
      <c r="G106" s="3"/>
      <c r="H106" s="304" t="str">
        <f>IF(G106="","",G106*'C.U. tab. riassuntiva'!$G$10)</f>
        <v/>
      </c>
      <c r="I106" s="304" t="str">
        <f>IF(G106="","",G106*'C.U. tab. riassuntiva'!$H$10)</f>
        <v/>
      </c>
      <c r="J106" s="304" t="str">
        <f>IF(G106="","",G106*'C.U. tab. riassuntiva'!$I$10)</f>
        <v/>
      </c>
      <c r="K106" s="304" t="str">
        <f>IF(G106="","",G106*'C.U. tab. riassuntiva'!$J$10)</f>
        <v/>
      </c>
      <c r="L106" s="3"/>
      <c r="M106" s="304" t="str">
        <f>IF(L106="","",L106*'C.U. tab. riassuntiva'!$G$10)</f>
        <v/>
      </c>
      <c r="N106" s="304" t="str">
        <f>IF(L106="","",L106*'C.U. tab. riassuntiva'!$H$10)</f>
        <v/>
      </c>
      <c r="O106" s="304" t="str">
        <f>IF(L106="","",L106*'C.U. tab. riassuntiva'!$I$10)</f>
        <v/>
      </c>
      <c r="P106" s="304" t="str">
        <f>IF(L106="","",L106*'C.U. tab. riassuntiva'!$J$10)</f>
        <v/>
      </c>
      <c r="Q106" s="3"/>
      <c r="R106" s="304" t="str">
        <f>IF(Q106="","",Q106*'C.U. tab. riassuntiva'!$G$10)</f>
        <v/>
      </c>
      <c r="S106" s="304" t="str">
        <f>IF(Q106="","",Q106*'C.U. tab. riassuntiva'!$H$10)</f>
        <v/>
      </c>
      <c r="T106" s="304" t="str">
        <f>IF(Q106="","",Q106*'C.U. tab. riassuntiva'!$I$10)</f>
        <v/>
      </c>
      <c r="U106" s="304" t="str">
        <f>IF(Q106="","",Q106*'C.U. tab. riassuntiva'!$J$10)</f>
        <v/>
      </c>
    </row>
    <row r="107" spans="1:21">
      <c r="A107" s="299" t="s">
        <v>290</v>
      </c>
      <c r="C107" s="304" t="str">
        <f>IF(B107="","",B107*'C.U. tab. riassuntiva'!$G$11)</f>
        <v/>
      </c>
      <c r="D107" s="304" t="str">
        <f>IF(B107="","",B107*'C.U. tab. riassuntiva'!$H$11)</f>
        <v/>
      </c>
      <c r="E107" s="304" t="str">
        <f>IF(B107="","",B107*'C.U. tab. riassuntiva'!$I$11)</f>
        <v/>
      </c>
      <c r="F107" s="304" t="str">
        <f>IF(B107="","",B107*'C.U. tab. riassuntiva'!$J$11)</f>
        <v/>
      </c>
      <c r="G107" s="3"/>
      <c r="H107" s="304" t="str">
        <f>IF(G107="","",G107*'C.U. tab. riassuntiva'!$G$11)</f>
        <v/>
      </c>
      <c r="I107" s="304" t="str">
        <f>IF(G107="","",G107*'C.U. tab. riassuntiva'!$H$11)</f>
        <v/>
      </c>
      <c r="J107" s="304" t="str">
        <f>IF(G107="","",G107*'C.U. tab. riassuntiva'!$I$11)</f>
        <v/>
      </c>
      <c r="K107" s="304" t="str">
        <f>IF(G107="","",G107*'C.U. tab. riassuntiva'!$J$11)</f>
        <v/>
      </c>
      <c r="L107" s="3"/>
      <c r="M107" s="304" t="str">
        <f>IF(L107="","",L107*'C.U. tab. riassuntiva'!$G$11)</f>
        <v/>
      </c>
      <c r="N107" s="304" t="str">
        <f>IF(L107="","",L107*'C.U. tab. riassuntiva'!$H$11)</f>
        <v/>
      </c>
      <c r="O107" s="304" t="str">
        <f>IF(L107="","",L107*'C.U. tab. riassuntiva'!$I$11)</f>
        <v/>
      </c>
      <c r="P107" s="304" t="str">
        <f>IF(L107="","",L107*'C.U. tab. riassuntiva'!$J$11)</f>
        <v/>
      </c>
      <c r="Q107" s="3"/>
      <c r="R107" s="304" t="str">
        <f>IF(Q107="","",Q107*'C.U. tab. riassuntiva'!$G$11)</f>
        <v/>
      </c>
      <c r="S107" s="304" t="str">
        <f>IF(Q107="","",Q107*'C.U. tab. riassuntiva'!$H$11)</f>
        <v/>
      </c>
      <c r="T107" s="304" t="str">
        <f>IF(Q107="","",Q107*'C.U. tab. riassuntiva'!$I$11)</f>
        <v/>
      </c>
      <c r="U107" s="304" t="str">
        <f>IF(Q107="","",Q107*'C.U. tab. riassuntiva'!$J$11)</f>
        <v/>
      </c>
    </row>
    <row r="108" spans="1:21">
      <c r="A108" s="299" t="s">
        <v>291</v>
      </c>
      <c r="B108" s="305">
        <v>1</v>
      </c>
      <c r="C108" s="304">
        <f>IF(B108="","",B108*'C.U. tab. riassuntiva'!$G$12)</f>
        <v>3.8415000000000004</v>
      </c>
      <c r="D108" s="304"/>
      <c r="E108" s="304">
        <f>IF(B108="","",B108*'C.U. tab. riassuntiva'!$I$12)</f>
        <v>2.9550000000000001</v>
      </c>
      <c r="F108" s="304"/>
      <c r="G108" s="3">
        <v>1</v>
      </c>
      <c r="H108" s="304">
        <f>IF(G108="","",G108*'C.U. tab. riassuntiva'!$G$12)</f>
        <v>3.8415000000000004</v>
      </c>
      <c r="I108" s="304"/>
      <c r="J108" s="304">
        <f>IF(G108="","",G108*'C.U. tab. riassuntiva'!$I$12)</f>
        <v>2.9550000000000001</v>
      </c>
      <c r="K108" s="304"/>
      <c r="L108" s="3">
        <v>1</v>
      </c>
      <c r="M108" s="304">
        <f>IF(L108="","",L108*'C.U. tab. riassuntiva'!$G$13)</f>
        <v>4.8165000000000004</v>
      </c>
      <c r="N108" s="304"/>
      <c r="O108" s="304">
        <f>IF(L108="","",L108*'C.U. tab. riassuntiva'!$I$13)</f>
        <v>3.7050000000000001</v>
      </c>
      <c r="P108" s="304"/>
      <c r="Q108" s="3">
        <v>1</v>
      </c>
      <c r="R108" s="304">
        <f>IF(Q108="","",Q108*'C.U. tab. riassuntiva'!$G$13)</f>
        <v>4.8165000000000004</v>
      </c>
      <c r="S108" s="304"/>
      <c r="T108" s="304">
        <f>IF(Q108="","",Q108*'C.U. tab. riassuntiva'!$I$13)</f>
        <v>3.7050000000000001</v>
      </c>
      <c r="U108" s="304"/>
    </row>
    <row r="109" spans="1:21">
      <c r="A109" s="299" t="s">
        <v>292</v>
      </c>
      <c r="B109" s="304"/>
      <c r="C109" s="304" t="str">
        <f>IF(B109="","",B109*'C.U. tab. riassuntiva'!$G$14)</f>
        <v/>
      </c>
      <c r="D109" s="304"/>
      <c r="E109" s="304" t="str">
        <f>IF(B109="","",B109*'C.U. tab. riassuntiva'!$I$14)</f>
        <v/>
      </c>
      <c r="F109" s="304"/>
      <c r="G109" s="23"/>
      <c r="H109" s="304" t="str">
        <f>IF(G109="","",G109*'C.U. tab. riassuntiva'!$G$14)</f>
        <v/>
      </c>
      <c r="I109" s="304"/>
      <c r="J109" s="304" t="str">
        <f>IF(G109="","",G109*'C.U. tab. riassuntiva'!$I$14)</f>
        <v/>
      </c>
      <c r="K109" s="304"/>
      <c r="L109" s="23"/>
      <c r="M109" s="304" t="str">
        <f>IF(L109="","",L109*'C.U. tab. riassuntiva'!$G$14)</f>
        <v/>
      </c>
      <c r="N109" s="304"/>
      <c r="O109" s="304" t="str">
        <f>IF(L109="","",L109*'C.U. tab. riassuntiva'!$I$14)</f>
        <v/>
      </c>
      <c r="P109" s="304"/>
      <c r="Q109" s="23"/>
      <c r="R109" s="304" t="str">
        <f>IF(Q109="","",Q109*'C.U. tab. riassuntiva'!$G$14)</f>
        <v/>
      </c>
      <c r="S109" s="304"/>
      <c r="T109" s="304" t="str">
        <f>IF(Q109="","",Q109*'C.U. tab. riassuntiva'!$I$14)</f>
        <v/>
      </c>
      <c r="U109" s="304"/>
    </row>
    <row r="110" spans="1:21">
      <c r="A110" s="299" t="s">
        <v>15</v>
      </c>
      <c r="C110" s="77" t="str">
        <f>IF(B110="","",B110*'C.U. tab. riassuntiva'!$G$16)</f>
        <v/>
      </c>
      <c r="D110" s="77"/>
      <c r="E110" s="77" t="str">
        <f>IF(B110="","",B110*'C.U. tab. riassuntiva'!$I$16)</f>
        <v/>
      </c>
      <c r="F110" s="77"/>
      <c r="G110" s="62"/>
      <c r="H110" s="77" t="str">
        <f>IF(G110="","",G110*'C.U. tab. riassuntiva'!$G$16)</f>
        <v/>
      </c>
      <c r="I110" s="77"/>
      <c r="J110" s="77" t="str">
        <f>IF(G110="","",G110*'C.U. tab. riassuntiva'!$I$16)</f>
        <v/>
      </c>
      <c r="K110" s="77"/>
      <c r="L110" s="62"/>
      <c r="M110" s="77" t="str">
        <f>IF(L110="","",L110*'C.U. tab. riassuntiva'!$G$16)</f>
        <v/>
      </c>
      <c r="N110" s="77"/>
      <c r="O110" s="77" t="str">
        <f>IF(L110="","",L110*'C.U. tab. riassuntiva'!$I$16)</f>
        <v/>
      </c>
      <c r="P110" s="77"/>
      <c r="Q110" s="62"/>
      <c r="R110" s="77" t="str">
        <f>IF(Q110="","",Q110*'C.U. tab. riassuntiva'!$G$16)</f>
        <v/>
      </c>
      <c r="S110" s="77"/>
      <c r="T110" s="77" t="str">
        <f>IF(Q110="","",Q110*'C.U. tab. riassuntiva'!$I$16)</f>
        <v/>
      </c>
      <c r="U110" s="77"/>
    </row>
    <row r="111" spans="1:21">
      <c r="A111" s="299"/>
      <c r="C111" s="284">
        <f>SUM(C105:C110)</f>
        <v>30.932850000000002</v>
      </c>
      <c r="D111" s="284">
        <f>SUM(D105:D110)</f>
        <v>14.850000000000001</v>
      </c>
      <c r="E111" s="284">
        <f>SUM(E105:E110)</f>
        <v>23.794499999999999</v>
      </c>
      <c r="F111" s="284">
        <f>SUM(F105:F110)</f>
        <v>2.97</v>
      </c>
      <c r="G111" s="62"/>
      <c r="H111" s="284">
        <f>SUM(H105:H110)</f>
        <v>30.16065</v>
      </c>
      <c r="I111" s="284">
        <f>SUM(I105:I110)</f>
        <v>23.76</v>
      </c>
      <c r="J111" s="284">
        <f>SUM(J105:J110)</f>
        <v>23.200499999999998</v>
      </c>
      <c r="K111" s="284">
        <f>SUM(K105:K110)</f>
        <v>8.91</v>
      </c>
      <c r="L111" s="62"/>
      <c r="M111" s="284">
        <f>SUM(M105:M110)</f>
        <v>31.135650000000002</v>
      </c>
      <c r="N111" s="284">
        <f>SUM(N105:N110)</f>
        <v>23.76</v>
      </c>
      <c r="O111" s="284">
        <f>SUM(O105:O110)</f>
        <v>23.950499999999998</v>
      </c>
      <c r="P111" s="284">
        <f>SUM(P105:P110)</f>
        <v>8.91</v>
      </c>
      <c r="Q111" s="62"/>
      <c r="R111" s="284">
        <f>SUM(R105:R110)</f>
        <v>31.135650000000002</v>
      </c>
      <c r="S111" s="284">
        <f>SUM(S105:S110)</f>
        <v>23.76</v>
      </c>
      <c r="T111" s="284">
        <f>SUM(T105:T110)</f>
        <v>23.950499999999998</v>
      </c>
      <c r="U111" s="284">
        <f>SUM(U105:U110)</f>
        <v>8.91</v>
      </c>
    </row>
    <row r="112" spans="1:21">
      <c r="C112" s="471">
        <f>C111+D111</f>
        <v>45.782850000000003</v>
      </c>
      <c r="D112" s="472"/>
      <c r="E112" s="471">
        <f>E111+F111</f>
        <v>26.764499999999998</v>
      </c>
      <c r="F112" s="472"/>
      <c r="H112" s="471">
        <f>H111+I111</f>
        <v>53.920650000000002</v>
      </c>
      <c r="I112" s="471"/>
      <c r="J112" s="471">
        <f>J111+K111</f>
        <v>32.110500000000002</v>
      </c>
      <c r="K112" s="471"/>
      <c r="L112" s="314"/>
      <c r="M112" s="471">
        <f>M111+N111</f>
        <v>54.895650000000003</v>
      </c>
      <c r="N112" s="471"/>
      <c r="O112" s="471">
        <f>O111+P111</f>
        <v>32.860500000000002</v>
      </c>
      <c r="P112" s="471"/>
      <c r="Q112" s="314"/>
      <c r="R112" s="471">
        <f>R111+S111</f>
        <v>54.895650000000003</v>
      </c>
      <c r="S112" s="471"/>
      <c r="T112" s="471">
        <f>T111+U111</f>
        <v>32.860500000000002</v>
      </c>
      <c r="U112" s="471"/>
    </row>
    <row r="113" spans="1:24">
      <c r="C113" s="304"/>
      <c r="E113" s="304"/>
      <c r="I113" s="304"/>
      <c r="K113" s="304"/>
      <c r="W113" s="304"/>
      <c r="X113" s="304"/>
    </row>
    <row r="115" spans="1:24">
      <c r="A115" s="272" t="s">
        <v>287</v>
      </c>
      <c r="B115" s="43"/>
      <c r="C115" s="289" t="s">
        <v>293</v>
      </c>
      <c r="H115" s="289" t="s">
        <v>303</v>
      </c>
      <c r="M115" s="289" t="s">
        <v>331</v>
      </c>
      <c r="R115" s="289" t="s">
        <v>330</v>
      </c>
    </row>
    <row r="116" spans="1:24" ht="18.75">
      <c r="A116" s="303" t="s">
        <v>338</v>
      </c>
      <c r="C116" s="285" t="s">
        <v>304</v>
      </c>
      <c r="D116" s="285" t="s">
        <v>305</v>
      </c>
      <c r="E116" s="285" t="s">
        <v>306</v>
      </c>
      <c r="F116" s="286" t="s">
        <v>307</v>
      </c>
      <c r="G116" s="62"/>
      <c r="H116" s="285" t="s">
        <v>304</v>
      </c>
      <c r="I116" s="285" t="s">
        <v>305</v>
      </c>
      <c r="J116" s="285" t="s">
        <v>306</v>
      </c>
      <c r="K116" s="286" t="s">
        <v>307</v>
      </c>
      <c r="L116" s="62"/>
      <c r="M116" s="285" t="s">
        <v>304</v>
      </c>
      <c r="N116" s="285" t="s">
        <v>305</v>
      </c>
      <c r="O116" s="285" t="s">
        <v>306</v>
      </c>
      <c r="P116" s="286" t="s">
        <v>307</v>
      </c>
      <c r="Q116" s="62"/>
      <c r="R116" s="285" t="s">
        <v>304</v>
      </c>
      <c r="S116" s="285" t="s">
        <v>305</v>
      </c>
      <c r="T116" s="285" t="s">
        <v>306</v>
      </c>
      <c r="U116" s="286" t="s">
        <v>307</v>
      </c>
    </row>
    <row r="117" spans="1:24" ht="15.75">
      <c r="A117" s="303"/>
      <c r="C117" s="285"/>
      <c r="D117" s="285"/>
      <c r="E117" s="285"/>
      <c r="F117" s="286"/>
      <c r="G117" s="62"/>
      <c r="H117" s="285"/>
      <c r="I117" s="285"/>
      <c r="J117" s="285"/>
      <c r="K117" s="286"/>
      <c r="L117" s="62"/>
      <c r="M117" s="285"/>
      <c r="N117" s="285"/>
      <c r="O117" s="285"/>
      <c r="P117" s="286"/>
      <c r="Q117" s="62"/>
      <c r="R117" s="285"/>
      <c r="S117" s="285"/>
      <c r="T117" s="285"/>
      <c r="U117" s="286"/>
    </row>
    <row r="118" spans="1:24">
      <c r="A118" s="299" t="s">
        <v>288</v>
      </c>
      <c r="B118" s="305">
        <f>1*(3.4/2)+1.2*(5.25/2)</f>
        <v>4.8499999999999996</v>
      </c>
      <c r="C118" s="304">
        <f>IF(B118="","",B118*'C.U. tab. riassuntiva'!$G$7)</f>
        <v>26.544049999999999</v>
      </c>
      <c r="D118" s="304">
        <f>IF(B118="","",B118*'C.U. tab. riassuntiva'!$H$7)</f>
        <v>14.549999999999999</v>
      </c>
      <c r="E118" s="304">
        <f>IF(B118="","",B118*'C.U. tab. riassuntiva'!$I$7)</f>
        <v>20.418499999999998</v>
      </c>
      <c r="F118" s="304">
        <f>IF(B118="","",B118*'C.U. tab. riassuntiva'!$J$7)</f>
        <v>2.9099999999999997</v>
      </c>
      <c r="G118" s="3">
        <f>1*(3.4/2)+1.2*(5.25/2)</f>
        <v>4.8499999999999996</v>
      </c>
      <c r="H118" s="304">
        <f>IF(G118="","",G118*'C.U. tab. riassuntiva'!$G$4)</f>
        <v>25.78745</v>
      </c>
      <c r="I118" s="304">
        <f>IF(G118="","",G118*'C.U. tab. riassuntiva'!$H$4)</f>
        <v>23.279999999999998</v>
      </c>
      <c r="J118" s="304">
        <f>IF(G118="","",G118*'C.U. tab. riassuntiva'!$I$4)</f>
        <v>19.836499999999997</v>
      </c>
      <c r="K118" s="304">
        <f>IF(G118="","",G118*'C.U. tab. riassuntiva'!$J$4)</f>
        <v>8.7299999999999986</v>
      </c>
      <c r="L118" s="3">
        <f>1*(3.4/2)+1.2*(5.25/2)</f>
        <v>4.8499999999999996</v>
      </c>
      <c r="M118" s="304">
        <f>IF(L118="","",L118*'C.U. tab. riassuntiva'!$G$4)</f>
        <v>25.78745</v>
      </c>
      <c r="N118" s="304">
        <f>IF(L118="","",L118*'C.U. tab. riassuntiva'!$H$4)</f>
        <v>23.279999999999998</v>
      </c>
      <c r="O118" s="304">
        <f>IF(L118="","",L118*'C.U. tab. riassuntiva'!$I$4)</f>
        <v>19.836499999999997</v>
      </c>
      <c r="P118" s="304">
        <f>IF(L118="","",L118*'C.U. tab. riassuntiva'!$J$4)</f>
        <v>8.7299999999999986</v>
      </c>
      <c r="Q118" s="3">
        <f>1*(3.4/2)+1.2*(5.25/2)</f>
        <v>4.8499999999999996</v>
      </c>
      <c r="R118" s="304">
        <f>IF(Q118="","",Q118*'C.U. tab. riassuntiva'!$G$4)</f>
        <v>25.78745</v>
      </c>
      <c r="S118" s="304">
        <f>IF(Q118="","",Q118*'C.U. tab. riassuntiva'!$H$4)</f>
        <v>23.279999999999998</v>
      </c>
      <c r="T118" s="304">
        <f>IF(Q118="","",Q118*'C.U. tab. riassuntiva'!$I$4)</f>
        <v>19.836499999999997</v>
      </c>
      <c r="U118" s="304">
        <f>IF(Q118="","",Q118*'C.U. tab. riassuntiva'!$J$4)</f>
        <v>8.7299999999999986</v>
      </c>
    </row>
    <row r="119" spans="1:24">
      <c r="A119" s="299" t="s">
        <v>289</v>
      </c>
      <c r="C119" s="304" t="str">
        <f>IF(B119="","",B119*'C.U. tab. riassuntiva'!$G$9)</f>
        <v/>
      </c>
      <c r="D119" s="304" t="str">
        <f>IF(B119="","",B119*'C.U. tab. riassuntiva'!$H$9)</f>
        <v/>
      </c>
      <c r="E119" s="304" t="str">
        <f>IF(B119="","",B119*'C.U. tab. riassuntiva'!$I$9)</f>
        <v/>
      </c>
      <c r="F119" s="304" t="str">
        <f>IF(B119="","",B119*'C.U. tab. riassuntiva'!$J$9)</f>
        <v/>
      </c>
      <c r="G119" s="3"/>
      <c r="H119" s="304" t="str">
        <f>IF(G119="","",G119*'C.U. tab. riassuntiva'!$G$10)</f>
        <v/>
      </c>
      <c r="I119" s="304" t="str">
        <f>IF(G119="","",G119*'C.U. tab. riassuntiva'!$H$10)</f>
        <v/>
      </c>
      <c r="J119" s="304" t="str">
        <f>IF(G119="","",G119*'C.U. tab. riassuntiva'!$I$10)</f>
        <v/>
      </c>
      <c r="K119" s="304" t="str">
        <f>IF(G119="","",G119*'C.U. tab. riassuntiva'!$J$10)</f>
        <v/>
      </c>
      <c r="L119" s="3"/>
      <c r="M119" s="304" t="str">
        <f>IF(L119="","",L119*'C.U. tab. riassuntiva'!$G$10)</f>
        <v/>
      </c>
      <c r="N119" s="304" t="str">
        <f>IF(L119="","",L119*'C.U. tab. riassuntiva'!$H$10)</f>
        <v/>
      </c>
      <c r="O119" s="304" t="str">
        <f>IF(L119="","",L119*'C.U. tab. riassuntiva'!$I$10)</f>
        <v/>
      </c>
      <c r="P119" s="304" t="str">
        <f>IF(L119="","",L119*'C.U. tab. riassuntiva'!$J$10)</f>
        <v/>
      </c>
      <c r="Q119" s="3"/>
      <c r="R119" s="304" t="str">
        <f>IF(Q119="","",Q119*'C.U. tab. riassuntiva'!$G$10)</f>
        <v/>
      </c>
      <c r="S119" s="304" t="str">
        <f>IF(Q119="","",Q119*'C.U. tab. riassuntiva'!$H$10)</f>
        <v/>
      </c>
      <c r="T119" s="304" t="str">
        <f>IF(Q119="","",Q119*'C.U. tab. riassuntiva'!$I$10)</f>
        <v/>
      </c>
      <c r="U119" s="304" t="str">
        <f>IF(Q119="","",Q119*'C.U. tab. riassuntiva'!$J$10)</f>
        <v/>
      </c>
    </row>
    <row r="120" spans="1:24">
      <c r="A120" s="299" t="s">
        <v>290</v>
      </c>
      <c r="C120" s="304" t="str">
        <f>IF(B120="","",B120*'C.U. tab. riassuntiva'!$G$11)</f>
        <v/>
      </c>
      <c r="D120" s="304" t="str">
        <f>IF(B120="","",B120*'C.U. tab. riassuntiva'!$H$11)</f>
        <v/>
      </c>
      <c r="E120" s="304" t="str">
        <f>IF(B120="","",B120*'C.U. tab. riassuntiva'!$I$11)</f>
        <v/>
      </c>
      <c r="F120" s="304" t="str">
        <f>IF(B120="","",B120*'C.U. tab. riassuntiva'!$J$11)</f>
        <v/>
      </c>
      <c r="G120" s="3"/>
      <c r="H120" s="304" t="str">
        <f>IF(G120="","",G120*'C.U. tab. riassuntiva'!$G$11)</f>
        <v/>
      </c>
      <c r="I120" s="304" t="str">
        <f>IF(G120="","",G120*'C.U. tab. riassuntiva'!$H$11)</f>
        <v/>
      </c>
      <c r="J120" s="304" t="str">
        <f>IF(G120="","",G120*'C.U. tab. riassuntiva'!$I$11)</f>
        <v/>
      </c>
      <c r="K120" s="304" t="str">
        <f>IF(G120="","",G120*'C.U. tab. riassuntiva'!$J$11)</f>
        <v/>
      </c>
      <c r="L120" s="3"/>
      <c r="M120" s="304" t="str">
        <f>IF(L120="","",L120*'C.U. tab. riassuntiva'!$G$11)</f>
        <v/>
      </c>
      <c r="N120" s="304" t="str">
        <f>IF(L120="","",L120*'C.U. tab. riassuntiva'!$H$11)</f>
        <v/>
      </c>
      <c r="O120" s="304" t="str">
        <f>IF(L120="","",L120*'C.U. tab. riassuntiva'!$I$11)</f>
        <v/>
      </c>
      <c r="P120" s="304" t="str">
        <f>IF(L120="","",L120*'C.U. tab. riassuntiva'!$J$11)</f>
        <v/>
      </c>
      <c r="Q120" s="3"/>
      <c r="R120" s="304" t="str">
        <f>IF(Q120="","",Q120*'C.U. tab. riassuntiva'!$G$11)</f>
        <v/>
      </c>
      <c r="S120" s="304" t="str">
        <f>IF(Q120="","",Q120*'C.U. tab. riassuntiva'!$H$11)</f>
        <v/>
      </c>
      <c r="T120" s="304" t="str">
        <f>IF(Q120="","",Q120*'C.U. tab. riassuntiva'!$I$11)</f>
        <v/>
      </c>
      <c r="U120" s="304" t="str">
        <f>IF(Q120="","",Q120*'C.U. tab. riassuntiva'!$J$11)</f>
        <v/>
      </c>
    </row>
    <row r="121" spans="1:24">
      <c r="A121" s="299" t="s">
        <v>291</v>
      </c>
      <c r="B121" s="305">
        <v>1</v>
      </c>
      <c r="C121" s="304">
        <f>IF(B121="","",B121*'C.U. tab. riassuntiva'!$G$12)</f>
        <v>3.8415000000000004</v>
      </c>
      <c r="D121" s="304"/>
      <c r="E121" s="304">
        <f>IF(B121="","",B121*'C.U. tab. riassuntiva'!$I$12)</f>
        <v>2.9550000000000001</v>
      </c>
      <c r="F121" s="304"/>
      <c r="G121" s="3">
        <v>1</v>
      </c>
      <c r="H121" s="304">
        <f>IF(G121="","",G121*'C.U. tab. riassuntiva'!$G$12)</f>
        <v>3.8415000000000004</v>
      </c>
      <c r="I121" s="304"/>
      <c r="J121" s="304">
        <f>IF(G121="","",G121*'C.U. tab. riassuntiva'!$I$12)</f>
        <v>2.9550000000000001</v>
      </c>
      <c r="K121" s="304"/>
      <c r="L121" s="3">
        <v>1</v>
      </c>
      <c r="M121" s="304">
        <f>IF(L121="","",L121*'C.U. tab. riassuntiva'!$G$13)</f>
        <v>4.8165000000000004</v>
      </c>
      <c r="N121" s="304"/>
      <c r="O121" s="304">
        <f>IF(L121="","",L121*'C.U. tab. riassuntiva'!$I$13)</f>
        <v>3.7050000000000001</v>
      </c>
      <c r="P121" s="304"/>
      <c r="Q121" s="3">
        <v>1</v>
      </c>
      <c r="R121" s="304">
        <f>IF(Q121="","",Q121*'C.U. tab. riassuntiva'!$G$13)</f>
        <v>4.8165000000000004</v>
      </c>
      <c r="S121" s="304"/>
      <c r="T121" s="304">
        <f>IF(Q121="","",Q121*'C.U. tab. riassuntiva'!$I$13)</f>
        <v>3.7050000000000001</v>
      </c>
      <c r="U121" s="304"/>
    </row>
    <row r="122" spans="1:24">
      <c r="A122" s="299" t="s">
        <v>292</v>
      </c>
      <c r="B122" s="304">
        <f>5.25/3.05</f>
        <v>1.7213114754098362</v>
      </c>
      <c r="C122" s="304">
        <f>IF(B122="","",B122*'C.U. tab. riassuntiva'!$G$14)</f>
        <v>6.836188524590165</v>
      </c>
      <c r="D122" s="304"/>
      <c r="E122" s="304">
        <f>IF(B122="","",B122*'C.U. tab. riassuntiva'!$I$14)</f>
        <v>5.2586065573770497</v>
      </c>
      <c r="F122" s="304"/>
      <c r="G122" s="23">
        <f>B122</f>
        <v>1.7213114754098362</v>
      </c>
      <c r="H122" s="304">
        <f>IF(G122="","",G122*'C.U. tab. riassuntiva'!$G$14)</f>
        <v>6.836188524590165</v>
      </c>
      <c r="I122" s="304"/>
      <c r="J122" s="304">
        <f>IF(G122="","",G122*'C.U. tab. riassuntiva'!$I$14)</f>
        <v>5.2586065573770497</v>
      </c>
      <c r="K122" s="304"/>
      <c r="L122" s="23">
        <f>B122</f>
        <v>1.7213114754098362</v>
      </c>
      <c r="M122" s="304">
        <f>IF(L122="","",L122*'C.U. tab. riassuntiva'!$G$14)</f>
        <v>6.836188524590165</v>
      </c>
      <c r="N122" s="304"/>
      <c r="O122" s="304">
        <f>IF(L122="","",L122*'C.U. tab. riassuntiva'!$I$14)</f>
        <v>5.2586065573770497</v>
      </c>
      <c r="P122" s="304"/>
      <c r="Q122" s="23">
        <f>B122</f>
        <v>1.7213114754098362</v>
      </c>
      <c r="R122" s="304">
        <f>IF(Q122="","",Q122*'C.U. tab. riassuntiva'!$G$14)</f>
        <v>6.836188524590165</v>
      </c>
      <c r="S122" s="304"/>
      <c r="T122" s="304">
        <f>IF(Q122="","",Q122*'C.U. tab. riassuntiva'!$I$14)</f>
        <v>5.2586065573770497</v>
      </c>
      <c r="U122" s="304"/>
    </row>
    <row r="123" spans="1:24">
      <c r="A123" s="299" t="s">
        <v>15</v>
      </c>
      <c r="B123" s="305"/>
      <c r="C123" s="77" t="str">
        <f>IF(B123="","",B123*'C.U. tab. riassuntiva'!$G$16)</f>
        <v/>
      </c>
      <c r="D123" s="77"/>
      <c r="E123" s="77" t="str">
        <f>IF(B123="","",B123*'C.U. tab. riassuntiva'!$I$16)</f>
        <v/>
      </c>
      <c r="F123" s="77"/>
      <c r="G123" s="3"/>
      <c r="H123" s="77" t="str">
        <f>IF(G123="","",G123*'C.U. tab. riassuntiva'!$G$16)</f>
        <v/>
      </c>
      <c r="I123" s="77"/>
      <c r="J123" s="77" t="str">
        <f>IF(G123="","",G123*'C.U. tab. riassuntiva'!$I$16)</f>
        <v/>
      </c>
      <c r="K123" s="77"/>
      <c r="L123" s="3"/>
      <c r="M123" s="77" t="str">
        <f>IF(L123="","",L123*'C.U. tab. riassuntiva'!$G$16)</f>
        <v/>
      </c>
      <c r="N123" s="77"/>
      <c r="O123" s="77" t="str">
        <f>IF(L123="","",L123*'C.U. tab. riassuntiva'!$I$16)</f>
        <v/>
      </c>
      <c r="P123" s="77"/>
      <c r="Q123" s="3"/>
      <c r="R123" s="77" t="str">
        <f>IF(Q123="","",Q123*'C.U. tab. riassuntiva'!$G$16)</f>
        <v/>
      </c>
      <c r="S123" s="77"/>
      <c r="T123" s="77" t="str">
        <f>IF(Q123="","",Q123*'C.U. tab. riassuntiva'!$I$16)</f>
        <v/>
      </c>
      <c r="U123" s="77"/>
    </row>
    <row r="124" spans="1:24">
      <c r="A124" s="299"/>
      <c r="C124" s="284">
        <f>SUM(C118:C123)</f>
        <v>37.221738524590165</v>
      </c>
      <c r="D124" s="284">
        <f>SUM(D118:D123)</f>
        <v>14.549999999999999</v>
      </c>
      <c r="E124" s="284">
        <f>SUM(E118:E123)</f>
        <v>28.63210655737705</v>
      </c>
      <c r="F124" s="284">
        <f>SUM(F118:F123)</f>
        <v>2.9099999999999997</v>
      </c>
      <c r="G124" s="62"/>
      <c r="H124" s="284">
        <f>SUM(H118:H123)</f>
        <v>36.465138524590166</v>
      </c>
      <c r="I124" s="284">
        <f>SUM(I118:I123)</f>
        <v>23.279999999999998</v>
      </c>
      <c r="J124" s="284">
        <f>SUM(J118:J123)</f>
        <v>28.050106557377049</v>
      </c>
      <c r="K124" s="284">
        <f>SUM(K118:K123)</f>
        <v>8.7299999999999986</v>
      </c>
      <c r="L124" s="62"/>
      <c r="M124" s="284">
        <f>SUM(M118:M123)</f>
        <v>37.440138524590168</v>
      </c>
      <c r="N124" s="284">
        <f>SUM(N118:N123)</f>
        <v>23.279999999999998</v>
      </c>
      <c r="O124" s="284">
        <f>SUM(O118:O123)</f>
        <v>28.800106557377049</v>
      </c>
      <c r="P124" s="284">
        <f>SUM(P118:P123)</f>
        <v>8.7299999999999986</v>
      </c>
      <c r="Q124" s="62"/>
      <c r="R124" s="284">
        <f>SUM(R118:R123)</f>
        <v>37.440138524590168</v>
      </c>
      <c r="S124" s="284">
        <f>SUM(S118:S123)</f>
        <v>23.279999999999998</v>
      </c>
      <c r="T124" s="284">
        <f>SUM(T118:T123)</f>
        <v>28.800106557377049</v>
      </c>
      <c r="U124" s="284">
        <f>SUM(U118:U123)</f>
        <v>8.7299999999999986</v>
      </c>
    </row>
    <row r="125" spans="1:24">
      <c r="C125" s="471">
        <f>C124+D124</f>
        <v>51.771738524590162</v>
      </c>
      <c r="D125" s="471"/>
      <c r="E125" s="471">
        <f>E124+F124</f>
        <v>31.54210655737705</v>
      </c>
      <c r="F125" s="471"/>
      <c r="H125" s="471">
        <f>H124+I124</f>
        <v>59.745138524590161</v>
      </c>
      <c r="I125" s="471"/>
      <c r="J125" s="471">
        <f>J124+K124</f>
        <v>36.780106557377046</v>
      </c>
      <c r="K125" s="471"/>
      <c r="L125" s="314"/>
      <c r="M125" s="471">
        <f>M124+N124</f>
        <v>60.720138524590169</v>
      </c>
      <c r="N125" s="471"/>
      <c r="O125" s="471">
        <f>O124+P124</f>
        <v>37.530106557377046</v>
      </c>
      <c r="P125" s="471"/>
      <c r="Q125" s="314"/>
      <c r="R125" s="471">
        <f>R124+S124</f>
        <v>60.720138524590169</v>
      </c>
      <c r="S125" s="471"/>
      <c r="T125" s="471">
        <f>T124+U124</f>
        <v>37.530106557377046</v>
      </c>
      <c r="U125" s="471"/>
    </row>
    <row r="126" spans="1:24">
      <c r="C126" s="304"/>
      <c r="D126" s="304"/>
      <c r="E126" s="304"/>
      <c r="F126" s="304"/>
      <c r="H126" s="304"/>
      <c r="I126" s="304"/>
      <c r="J126" s="304"/>
      <c r="K126" s="304"/>
      <c r="M126" s="304"/>
      <c r="N126" s="304"/>
      <c r="O126" s="304"/>
      <c r="P126" s="304"/>
      <c r="R126" s="304"/>
      <c r="S126" s="304"/>
      <c r="T126" s="304"/>
      <c r="U126" s="304"/>
    </row>
    <row r="127" spans="1:24">
      <c r="C127" s="312"/>
      <c r="D127" s="313"/>
      <c r="E127" s="312"/>
      <c r="F127" s="313"/>
      <c r="H127" s="312"/>
      <c r="I127" s="313"/>
      <c r="J127" s="312"/>
      <c r="K127" s="313"/>
      <c r="M127" s="312"/>
      <c r="N127" s="313"/>
      <c r="O127" s="312"/>
      <c r="P127" s="313"/>
      <c r="R127" s="312"/>
      <c r="S127" s="312"/>
      <c r="T127" s="312"/>
      <c r="U127" s="312"/>
    </row>
    <row r="128" spans="1:24">
      <c r="A128" s="433" t="s">
        <v>287</v>
      </c>
      <c r="B128" s="12"/>
      <c r="C128" s="434" t="s">
        <v>293</v>
      </c>
      <c r="D128" s="142"/>
      <c r="E128" s="142"/>
      <c r="F128" s="142"/>
      <c r="G128" s="142"/>
      <c r="H128" s="434" t="s">
        <v>303</v>
      </c>
      <c r="I128" s="142"/>
      <c r="J128" s="142"/>
      <c r="K128" s="142"/>
      <c r="L128" s="142"/>
      <c r="M128" s="434" t="s">
        <v>331</v>
      </c>
      <c r="N128" s="142"/>
      <c r="O128" s="142"/>
      <c r="P128" s="142"/>
      <c r="Q128" s="142"/>
      <c r="R128" s="434" t="s">
        <v>330</v>
      </c>
      <c r="S128" s="142"/>
      <c r="T128" s="142"/>
      <c r="U128" s="142"/>
    </row>
    <row r="129" spans="1:21" ht="18.75">
      <c r="A129" s="335" t="s">
        <v>341</v>
      </c>
      <c r="B129" s="142"/>
      <c r="C129" s="435" t="s">
        <v>304</v>
      </c>
      <c r="D129" s="435" t="s">
        <v>305</v>
      </c>
      <c r="E129" s="435" t="s">
        <v>306</v>
      </c>
      <c r="F129" s="436" t="s">
        <v>307</v>
      </c>
      <c r="G129" s="281"/>
      <c r="H129" s="435" t="s">
        <v>304</v>
      </c>
      <c r="I129" s="435" t="s">
        <v>305</v>
      </c>
      <c r="J129" s="435" t="s">
        <v>306</v>
      </c>
      <c r="K129" s="436" t="s">
        <v>307</v>
      </c>
      <c r="L129" s="281"/>
      <c r="M129" s="435" t="s">
        <v>304</v>
      </c>
      <c r="N129" s="435" t="s">
        <v>305</v>
      </c>
      <c r="O129" s="435" t="s">
        <v>306</v>
      </c>
      <c r="P129" s="436" t="s">
        <v>307</v>
      </c>
      <c r="Q129" s="281"/>
      <c r="R129" s="435" t="s">
        <v>304</v>
      </c>
      <c r="S129" s="435" t="s">
        <v>305</v>
      </c>
      <c r="T129" s="435" t="s">
        <v>306</v>
      </c>
      <c r="U129" s="436" t="s">
        <v>307</v>
      </c>
    </row>
    <row r="130" spans="1:21" ht="15.75">
      <c r="A130" s="335"/>
      <c r="B130" s="142"/>
      <c r="C130" s="435"/>
      <c r="D130" s="435"/>
      <c r="E130" s="435"/>
      <c r="F130" s="436"/>
      <c r="G130" s="281"/>
      <c r="H130" s="435"/>
      <c r="I130" s="435"/>
      <c r="J130" s="435"/>
      <c r="K130" s="436"/>
      <c r="L130" s="281"/>
      <c r="M130" s="435"/>
      <c r="N130" s="435"/>
      <c r="O130" s="435"/>
      <c r="P130" s="436"/>
      <c r="Q130" s="281"/>
      <c r="R130" s="435"/>
      <c r="S130" s="435"/>
      <c r="T130" s="435"/>
      <c r="U130" s="436"/>
    </row>
    <row r="131" spans="1:21">
      <c r="A131" s="437" t="s">
        <v>288</v>
      </c>
      <c r="B131" s="160">
        <f>1.2*(5.25/2)</f>
        <v>3.15</v>
      </c>
      <c r="C131" s="338">
        <f>IF(B131="","",B131*'C.U. tab. riassuntiva'!$G$7)</f>
        <v>17.23995</v>
      </c>
      <c r="D131" s="338">
        <f>IF(B131="","",B131*'C.U. tab. riassuntiva'!$H$7)</f>
        <v>9.4499999999999993</v>
      </c>
      <c r="E131" s="338">
        <f>IF(B131="","",B131*'C.U. tab. riassuntiva'!$I$7)</f>
        <v>13.2615</v>
      </c>
      <c r="F131" s="338">
        <f>IF(B131="","",B131*'C.U. tab. riassuntiva'!$J$7)</f>
        <v>1.89</v>
      </c>
      <c r="G131" s="24">
        <f>1.2*(5.25/2)</f>
        <v>3.15</v>
      </c>
      <c r="H131" s="338">
        <f>IF(G131="","",G131*'C.U. tab. riassuntiva'!$G$4)</f>
        <v>16.748550000000002</v>
      </c>
      <c r="I131" s="338">
        <f>IF(G131="","",G131*'C.U. tab. riassuntiva'!$H$4)</f>
        <v>15.12</v>
      </c>
      <c r="J131" s="338">
        <f>IF(G131="","",G131*'C.U. tab. riassuntiva'!$I$4)</f>
        <v>12.8835</v>
      </c>
      <c r="K131" s="338">
        <f>IF(G131="","",G131*'C.U. tab. riassuntiva'!$J$4)</f>
        <v>5.669999999999999</v>
      </c>
      <c r="L131" s="24">
        <f>1.2*(5.25/2)</f>
        <v>3.15</v>
      </c>
      <c r="M131" s="338">
        <f>IF(L131="","",L131*'C.U. tab. riassuntiva'!$G$4)</f>
        <v>16.748550000000002</v>
      </c>
      <c r="N131" s="338">
        <f>IF(L131="","",L131*'C.U. tab. riassuntiva'!$H$4)</f>
        <v>15.12</v>
      </c>
      <c r="O131" s="338">
        <f>IF(L131="","",L131*'C.U. tab. riassuntiva'!$I$4)</f>
        <v>12.8835</v>
      </c>
      <c r="P131" s="338">
        <f>IF(L131="","",L131*'C.U. tab. riassuntiva'!$J$4)</f>
        <v>5.669999999999999</v>
      </c>
      <c r="Q131" s="24">
        <f>1.2*(5.25/2)</f>
        <v>3.15</v>
      </c>
      <c r="R131" s="338">
        <f>IF(Q131="","",Q131*'C.U. tab. riassuntiva'!$G$4)</f>
        <v>16.748550000000002</v>
      </c>
      <c r="S131" s="338">
        <f>IF(Q131="","",Q131*'C.U. tab. riassuntiva'!$H$4)</f>
        <v>15.12</v>
      </c>
      <c r="T131" s="338">
        <f>IF(Q131="","",Q131*'C.U. tab. riassuntiva'!$I$4)</f>
        <v>12.8835</v>
      </c>
      <c r="U131" s="338">
        <f>IF(Q131="","",Q131*'C.U. tab. riassuntiva'!$J$4)</f>
        <v>5.669999999999999</v>
      </c>
    </row>
    <row r="132" spans="1:21">
      <c r="A132" s="437" t="s">
        <v>289</v>
      </c>
      <c r="B132" s="142"/>
      <c r="C132" s="338" t="str">
        <f>IF(B132="","",B132*'C.U. tab. riassuntiva'!$G$9)</f>
        <v/>
      </c>
      <c r="D132" s="338" t="str">
        <f>IF(B132="","",B132*'C.U. tab. riassuntiva'!$H$9)</f>
        <v/>
      </c>
      <c r="E132" s="338" t="str">
        <f>IF(B132="","",B132*'C.U. tab. riassuntiva'!$I$9)</f>
        <v/>
      </c>
      <c r="F132" s="338" t="str">
        <f>IF(B132="","",B132*'C.U. tab. riassuntiva'!$J$9)</f>
        <v/>
      </c>
      <c r="G132" s="24"/>
      <c r="H132" s="338" t="str">
        <f>IF(G132="","",G132*'C.U. tab. riassuntiva'!$G$10)</f>
        <v/>
      </c>
      <c r="I132" s="338" t="str">
        <f>IF(G132="","",G132*'C.U. tab. riassuntiva'!$H$10)</f>
        <v/>
      </c>
      <c r="J132" s="338" t="str">
        <f>IF(G132="","",G132*'C.U. tab. riassuntiva'!$I$10)</f>
        <v/>
      </c>
      <c r="K132" s="338" t="str">
        <f>IF(G132="","",G132*'C.U. tab. riassuntiva'!$J$10)</f>
        <v/>
      </c>
      <c r="L132" s="24"/>
      <c r="M132" s="338" t="str">
        <f>IF(L132="","",L132*'C.U. tab. riassuntiva'!$G$10)</f>
        <v/>
      </c>
      <c r="N132" s="338" t="str">
        <f>IF(L132="","",L132*'C.U. tab. riassuntiva'!$H$10)</f>
        <v/>
      </c>
      <c r="O132" s="338" t="str">
        <f>IF(L132="","",L132*'C.U. tab. riassuntiva'!$I$10)</f>
        <v/>
      </c>
      <c r="P132" s="338" t="str">
        <f>IF(L132="","",L132*'C.U. tab. riassuntiva'!$J$10)</f>
        <v/>
      </c>
      <c r="Q132" s="24"/>
      <c r="R132" s="338" t="str">
        <f>IF(Q132="","",Q132*'C.U. tab. riassuntiva'!$G$10)</f>
        <v/>
      </c>
      <c r="S132" s="338" t="str">
        <f>IF(Q132="","",Q132*'C.U. tab. riassuntiva'!$H$10)</f>
        <v/>
      </c>
      <c r="T132" s="338" t="str">
        <f>IF(Q132="","",Q132*'C.U. tab. riassuntiva'!$I$10)</f>
        <v/>
      </c>
      <c r="U132" s="338" t="str">
        <f>IF(Q132="","",Q132*'C.U. tab. riassuntiva'!$J$10)</f>
        <v/>
      </c>
    </row>
    <row r="133" spans="1:21">
      <c r="A133" s="437" t="s">
        <v>290</v>
      </c>
      <c r="B133" s="160">
        <f>(3.4/2)*1.1</f>
        <v>1.87</v>
      </c>
      <c r="C133" s="338">
        <f>IF(B133="","",B133*'C.U. tab. riassuntiva'!$G$11)</f>
        <v>13.162647553424202</v>
      </c>
      <c r="D133" s="338">
        <f>IF(B133="","",B133*'C.U. tab. riassuntiva'!$H$11)</f>
        <v>11.22</v>
      </c>
      <c r="E133" s="338">
        <f>IF(B133="","",B133*'C.U. tab. riassuntiva'!$I$11)</f>
        <v>10.125113502634001</v>
      </c>
      <c r="F133" s="338">
        <f>IF(B133="","",B133*'C.U. tab. riassuntiva'!$J$11)</f>
        <v>4.4880000000000004</v>
      </c>
      <c r="G133" s="24">
        <f>(3.4/2)*1.1</f>
        <v>1.87</v>
      </c>
      <c r="H133" s="338">
        <f>IF(G133="","",G133*'C.U. tab. riassuntiva'!$G$11)</f>
        <v>13.162647553424202</v>
      </c>
      <c r="I133" s="338">
        <f>IF(G133="","",G133*'C.U. tab. riassuntiva'!$H$11)</f>
        <v>11.22</v>
      </c>
      <c r="J133" s="338">
        <f>IF(G133="","",G133*'C.U. tab. riassuntiva'!$I$11)</f>
        <v>10.125113502634001</v>
      </c>
      <c r="K133" s="338">
        <f>IF(G133="","",G133*'C.U. tab. riassuntiva'!$J$11)</f>
        <v>4.4880000000000004</v>
      </c>
      <c r="L133" s="24">
        <f>(3.4/2)*1.1</f>
        <v>1.87</v>
      </c>
      <c r="M133" s="338">
        <f>IF(L133="","",L133*'C.U. tab. riassuntiva'!$G$11)</f>
        <v>13.162647553424202</v>
      </c>
      <c r="N133" s="338">
        <f>IF(L133="","",L133*'C.U. tab. riassuntiva'!$H$11)</f>
        <v>11.22</v>
      </c>
      <c r="O133" s="338">
        <f>IF(L133="","",L133*'C.U. tab. riassuntiva'!$I$11)</f>
        <v>10.125113502634001</v>
      </c>
      <c r="P133" s="338">
        <f>IF(L133="","",L133*'C.U. tab. riassuntiva'!$J$11)</f>
        <v>4.4880000000000004</v>
      </c>
      <c r="Q133" s="24">
        <f>(3.4/2)*1.1</f>
        <v>1.87</v>
      </c>
      <c r="R133" s="338">
        <f>IF(Q133="","",Q133*'C.U. tab. riassuntiva'!$G$11)</f>
        <v>13.162647553424202</v>
      </c>
      <c r="S133" s="338">
        <f>IF(Q133="","",Q133*'C.U. tab. riassuntiva'!$H$11)</f>
        <v>11.22</v>
      </c>
      <c r="T133" s="338">
        <f>IF(Q133="","",Q133*'C.U. tab. riassuntiva'!$I$11)</f>
        <v>10.125113502634001</v>
      </c>
      <c r="U133" s="338">
        <f>IF(Q133="","",Q133*'C.U. tab. riassuntiva'!$J$11)</f>
        <v>4.4880000000000004</v>
      </c>
    </row>
    <row r="134" spans="1:21">
      <c r="A134" s="437" t="s">
        <v>291</v>
      </c>
      <c r="B134" s="160">
        <v>1</v>
      </c>
      <c r="C134" s="338">
        <f>IF(B134="","",B134*'C.U. tab. riassuntiva'!$G$12)</f>
        <v>3.8415000000000004</v>
      </c>
      <c r="D134" s="338"/>
      <c r="E134" s="338">
        <f>IF(B134="","",B134*'C.U. tab. riassuntiva'!$I$12)</f>
        <v>2.9550000000000001</v>
      </c>
      <c r="F134" s="338"/>
      <c r="G134" s="24">
        <v>1</v>
      </c>
      <c r="H134" s="338">
        <f>IF(G134="","",G134*'C.U. tab. riassuntiva'!$G$12)</f>
        <v>3.8415000000000004</v>
      </c>
      <c r="I134" s="338"/>
      <c r="J134" s="338">
        <f>IF(G134="","",G134*'C.U. tab. riassuntiva'!$I$12)</f>
        <v>2.9550000000000001</v>
      </c>
      <c r="K134" s="338"/>
      <c r="L134" s="24">
        <v>1</v>
      </c>
      <c r="M134" s="338">
        <f>IF(L134="","",L134*'C.U. tab. riassuntiva'!$G$13)</f>
        <v>4.8165000000000004</v>
      </c>
      <c r="N134" s="338"/>
      <c r="O134" s="338">
        <f>IF(L134="","",L134*'C.U. tab. riassuntiva'!$I$13)</f>
        <v>3.7050000000000001</v>
      </c>
      <c r="P134" s="338"/>
      <c r="Q134" s="24">
        <v>1</v>
      </c>
      <c r="R134" s="338">
        <f>IF(Q134="","",Q134*'C.U. tab. riassuntiva'!$G$13)</f>
        <v>4.8165000000000004</v>
      </c>
      <c r="S134" s="338"/>
      <c r="T134" s="338">
        <f>IF(Q134="","",Q134*'C.U. tab. riassuntiva'!$I$13)</f>
        <v>3.7050000000000001</v>
      </c>
      <c r="U134" s="338"/>
    </row>
    <row r="135" spans="1:21">
      <c r="A135" s="437" t="s">
        <v>292</v>
      </c>
      <c r="B135" s="338">
        <f>5.25/4.1</f>
        <v>1.2804878048780488</v>
      </c>
      <c r="C135" s="338">
        <f>IF(B135="","",B135*'C.U. tab. riassuntiva'!$G$14)</f>
        <v>5.0854573170731712</v>
      </c>
      <c r="D135" s="338"/>
      <c r="E135" s="338">
        <f>IF(B135="","",B135*'C.U. tab. riassuntiva'!$I$14)</f>
        <v>3.9118902439024392</v>
      </c>
      <c r="F135" s="338"/>
      <c r="G135" s="265"/>
      <c r="H135" s="338" t="str">
        <f>IF(G135="","",G135*'C.U. tab. riassuntiva'!$G$14)</f>
        <v/>
      </c>
      <c r="I135" s="338"/>
      <c r="J135" s="338" t="str">
        <f>IF(G135="","",G135*'C.U. tab. riassuntiva'!$I$14)</f>
        <v/>
      </c>
      <c r="K135" s="338"/>
      <c r="L135" s="265"/>
      <c r="M135" s="338" t="str">
        <f>IF(L135="","",L135*'C.U. tab. riassuntiva'!$G$14)</f>
        <v/>
      </c>
      <c r="N135" s="338"/>
      <c r="O135" s="338" t="str">
        <f>IF(L135="","",L135*'C.U. tab. riassuntiva'!$I$14)</f>
        <v/>
      </c>
      <c r="P135" s="338"/>
      <c r="Q135" s="265"/>
      <c r="R135" s="338" t="str">
        <f>IF(Q135="","",Q135*'C.U. tab. riassuntiva'!$G$14)</f>
        <v/>
      </c>
      <c r="S135" s="338"/>
      <c r="T135" s="338" t="str">
        <f>IF(Q135="","",Q135*'C.U. tab. riassuntiva'!$I$14)</f>
        <v/>
      </c>
      <c r="U135" s="338"/>
    </row>
    <row r="136" spans="1:21">
      <c r="A136" s="299" t="s">
        <v>15</v>
      </c>
      <c r="B136" s="305">
        <v>1</v>
      </c>
      <c r="C136" s="77">
        <f>IF(B136="","",B136*'C.U. tab. riassuntiva'!$G$16)</f>
        <v>7.4360000000000008</v>
      </c>
      <c r="D136" s="77"/>
      <c r="E136" s="77">
        <f>IF(B136="","",B136*'C.U. tab. riassuntiva'!$I$16)</f>
        <v>5.7200000000000006</v>
      </c>
      <c r="F136" s="77"/>
      <c r="G136" s="3">
        <v>1</v>
      </c>
      <c r="H136" s="77">
        <f>IF(G136="","",G136*'C.U. tab. riassuntiva'!$G$16)</f>
        <v>7.4360000000000008</v>
      </c>
      <c r="I136" s="77"/>
      <c r="J136" s="77">
        <f>IF(G136="","",G136*'C.U. tab. riassuntiva'!$I$16)</f>
        <v>5.7200000000000006</v>
      </c>
      <c r="K136" s="77"/>
      <c r="L136" s="3">
        <v>1</v>
      </c>
      <c r="M136" s="77">
        <f>IF(L136="","",L136*'C.U. tab. riassuntiva'!$G$16)</f>
        <v>7.4360000000000008</v>
      </c>
      <c r="N136" s="77"/>
      <c r="O136" s="77">
        <f>IF(L136="","",L136*'C.U. tab. riassuntiva'!$I$16)</f>
        <v>5.7200000000000006</v>
      </c>
      <c r="P136" s="77"/>
      <c r="Q136" s="3">
        <v>1</v>
      </c>
      <c r="R136" s="77">
        <f>IF(Q136="","",Q136*'C.U. tab. riassuntiva'!$G$16)</f>
        <v>7.4360000000000008</v>
      </c>
      <c r="S136" s="77"/>
      <c r="T136" s="77">
        <f>IF(Q136="","",Q136*'C.U. tab. riassuntiva'!$I$16)</f>
        <v>5.7200000000000006</v>
      </c>
      <c r="U136" s="77"/>
    </row>
    <row r="137" spans="1:21">
      <c r="A137" s="299"/>
      <c r="C137" s="284">
        <f>SUM(C131:C136)</f>
        <v>46.765554870497375</v>
      </c>
      <c r="D137" s="284">
        <f>SUM(D131:D136)</f>
        <v>20.67</v>
      </c>
      <c r="E137" s="284">
        <f>SUM(E131:E136)</f>
        <v>35.973503746536437</v>
      </c>
      <c r="F137" s="284">
        <f>SUM(F131:F136)</f>
        <v>6.3780000000000001</v>
      </c>
      <c r="G137" s="62"/>
      <c r="H137" s="284">
        <f>SUM(H131:H136)</f>
        <v>41.188697553424205</v>
      </c>
      <c r="I137" s="284">
        <f>SUM(I131:I136)</f>
        <v>26.34</v>
      </c>
      <c r="J137" s="284">
        <f>SUM(J131:J136)</f>
        <v>31.683613502633996</v>
      </c>
      <c r="K137" s="284">
        <f>SUM(K131:K136)</f>
        <v>10.157999999999999</v>
      </c>
      <c r="L137" s="62"/>
      <c r="M137" s="284">
        <f>SUM(M131:M136)</f>
        <v>42.1636975534242</v>
      </c>
      <c r="N137" s="284">
        <f>SUM(N131:N136)</f>
        <v>26.34</v>
      </c>
      <c r="O137" s="284">
        <f>SUM(O131:O136)</f>
        <v>32.433613502633996</v>
      </c>
      <c r="P137" s="284">
        <f>SUM(P131:P136)</f>
        <v>10.157999999999999</v>
      </c>
      <c r="Q137" s="62"/>
      <c r="R137" s="284">
        <f>SUM(R131:R136)</f>
        <v>42.1636975534242</v>
      </c>
      <c r="S137" s="284">
        <f>SUM(S131:S136)</f>
        <v>26.34</v>
      </c>
      <c r="T137" s="284">
        <f>SUM(T131:T136)</f>
        <v>32.433613502633996</v>
      </c>
      <c r="U137" s="284">
        <f>SUM(U131:U136)</f>
        <v>10.157999999999999</v>
      </c>
    </row>
    <row r="138" spans="1:21">
      <c r="A138" s="43"/>
      <c r="C138" s="471">
        <f>C137+D137</f>
        <v>67.435554870497384</v>
      </c>
      <c r="D138" s="471"/>
      <c r="E138" s="471">
        <f>E137+F137</f>
        <v>42.351503746536437</v>
      </c>
      <c r="F138" s="471"/>
      <c r="H138" s="471">
        <f>H137+I137</f>
        <v>67.528697553424209</v>
      </c>
      <c r="I138" s="471"/>
      <c r="J138" s="471">
        <f>J137+K137</f>
        <v>41.841613502633997</v>
      </c>
      <c r="K138" s="471"/>
      <c r="M138" s="471">
        <f>M137+N137</f>
        <v>68.503697553424203</v>
      </c>
      <c r="N138" s="471"/>
      <c r="O138" s="471">
        <f>O137+P137</f>
        <v>42.591613502633997</v>
      </c>
      <c r="P138" s="471"/>
      <c r="R138" s="471">
        <f>R137+S137</f>
        <v>68.503697553424203</v>
      </c>
      <c r="S138" s="471"/>
      <c r="T138" s="471">
        <f>T137+U137</f>
        <v>42.591613502633997</v>
      </c>
      <c r="U138" s="471"/>
    </row>
    <row r="140" spans="1:21">
      <c r="A140" s="316" t="s">
        <v>230</v>
      </c>
    </row>
    <row r="141" spans="1:21">
      <c r="A141" s="272" t="s">
        <v>287</v>
      </c>
      <c r="B141" s="43"/>
      <c r="C141" s="289" t="s">
        <v>293</v>
      </c>
      <c r="H141" s="289" t="s">
        <v>303</v>
      </c>
      <c r="L141" s="314"/>
      <c r="M141" s="289" t="s">
        <v>331</v>
      </c>
      <c r="N141" s="314"/>
      <c r="O141" s="314"/>
      <c r="P141" s="314"/>
      <c r="Q141" s="314"/>
      <c r="R141" s="289" t="s">
        <v>330</v>
      </c>
      <c r="S141" s="314"/>
      <c r="T141" s="314"/>
    </row>
    <row r="142" spans="1:21" ht="18.75">
      <c r="A142" s="303" t="s">
        <v>342</v>
      </c>
      <c r="C142" s="285" t="s">
        <v>304</v>
      </c>
      <c r="D142" s="285" t="s">
        <v>305</v>
      </c>
      <c r="E142" s="285" t="s">
        <v>306</v>
      </c>
      <c r="F142" s="286" t="s">
        <v>307</v>
      </c>
      <c r="G142" s="62"/>
      <c r="H142" s="285" t="s">
        <v>304</v>
      </c>
      <c r="I142" s="285" t="s">
        <v>305</v>
      </c>
      <c r="J142" s="285" t="s">
        <v>306</v>
      </c>
      <c r="K142" s="286" t="s">
        <v>307</v>
      </c>
      <c r="L142" s="62"/>
      <c r="M142" s="285" t="s">
        <v>304</v>
      </c>
      <c r="N142" s="285" t="s">
        <v>305</v>
      </c>
      <c r="O142" s="285" t="s">
        <v>306</v>
      </c>
      <c r="P142" s="286" t="s">
        <v>307</v>
      </c>
      <c r="Q142" s="62"/>
      <c r="R142" s="285" t="s">
        <v>304</v>
      </c>
      <c r="S142" s="285" t="s">
        <v>305</v>
      </c>
      <c r="T142" s="285" t="s">
        <v>306</v>
      </c>
      <c r="U142" s="286" t="s">
        <v>307</v>
      </c>
    </row>
    <row r="143" spans="1:21" ht="15.75">
      <c r="A143" s="303"/>
      <c r="C143" s="285"/>
      <c r="D143" s="285"/>
      <c r="E143" s="285"/>
      <c r="F143" s="286"/>
      <c r="G143" s="62"/>
      <c r="H143" s="285"/>
      <c r="I143" s="285"/>
      <c r="J143" s="285"/>
      <c r="K143" s="286"/>
      <c r="L143" s="62"/>
      <c r="M143" s="285"/>
      <c r="N143" s="285"/>
      <c r="O143" s="285"/>
      <c r="P143" s="286"/>
      <c r="Q143" s="62"/>
      <c r="R143" s="285"/>
      <c r="S143" s="285"/>
      <c r="T143" s="285"/>
      <c r="U143" s="286"/>
    </row>
    <row r="144" spans="1:21">
      <c r="A144" s="299" t="s">
        <v>288</v>
      </c>
      <c r="B144" s="304">
        <f>1*(4.55/2)</f>
        <v>2.2749999999999999</v>
      </c>
      <c r="C144" s="304">
        <f>IF(B144="","",B144*'C.U. tab. riassuntiva'!$G$7)</f>
        <v>12.451074999999999</v>
      </c>
      <c r="D144" s="304">
        <f>IF(B144="","",B144*'C.U. tab. riassuntiva'!$H$7)</f>
        <v>6.8249999999999993</v>
      </c>
      <c r="E144" s="304">
        <f>IF(B144="","",B144*'C.U. tab. riassuntiva'!$I$7)</f>
        <v>9.57775</v>
      </c>
      <c r="F144" s="304">
        <f>IF(B144="","",B144*'C.U. tab. riassuntiva'!$J$7)</f>
        <v>1.365</v>
      </c>
      <c r="G144" s="23">
        <f>1*(4.55/2)</f>
        <v>2.2749999999999999</v>
      </c>
      <c r="H144" s="304">
        <f>IF(G144="","",G144*'C.U. tab. riassuntiva'!$G$4)</f>
        <v>12.096175000000001</v>
      </c>
      <c r="I144" s="304">
        <f>IF(G144="","",G144*'C.U. tab. riassuntiva'!$H$4)</f>
        <v>10.92</v>
      </c>
      <c r="J144" s="304">
        <f>IF(G144="","",G144*'C.U. tab. riassuntiva'!$I$4)</f>
        <v>9.3047499999999985</v>
      </c>
      <c r="K144" s="304">
        <f>IF(G144="","",G144*'C.U. tab. riassuntiva'!$J$4)</f>
        <v>4.0949999999999998</v>
      </c>
      <c r="L144" s="23">
        <f>1*(4.55/2)</f>
        <v>2.2749999999999999</v>
      </c>
      <c r="M144" s="310">
        <f>IF(L144="","",L144*'C.U. tab. riassuntiva'!$G$4)</f>
        <v>12.096175000000001</v>
      </c>
      <c r="N144" s="310">
        <f>IF(L144="","",L144*'C.U. tab. riassuntiva'!$H$4)</f>
        <v>10.92</v>
      </c>
      <c r="O144" s="310">
        <f>IF(L144="","",L144*'C.U. tab. riassuntiva'!$I$4)</f>
        <v>9.3047499999999985</v>
      </c>
      <c r="P144" s="310">
        <f>IF(L144="","",L144*'C.U. tab. riassuntiva'!$J$4)</f>
        <v>4.0949999999999998</v>
      </c>
      <c r="Q144" s="23">
        <f>1*(4.55/2)</f>
        <v>2.2749999999999999</v>
      </c>
      <c r="R144" s="310">
        <f>IF(Q144="","",Q144*'C.U. tab. riassuntiva'!$G$4)</f>
        <v>12.096175000000001</v>
      </c>
      <c r="S144" s="310">
        <f>IF(Q144="","",Q144*'C.U. tab. riassuntiva'!$H$4)</f>
        <v>10.92</v>
      </c>
      <c r="T144" s="310">
        <f>IF(Q144="","",Q144*'C.U. tab. riassuntiva'!$I$4)</f>
        <v>9.3047499999999985</v>
      </c>
      <c r="U144" s="304">
        <f>IF(Q144="","",Q144*'C.U. tab. riassuntiva'!$J$4)</f>
        <v>4.0949999999999998</v>
      </c>
    </row>
    <row r="145" spans="1:21">
      <c r="A145" s="299" t="s">
        <v>289</v>
      </c>
      <c r="B145" s="305">
        <v>1.5</v>
      </c>
      <c r="C145" s="304">
        <f>IF(B145="","",B145*'C.U. tab. riassuntiva'!$G$9)</f>
        <v>3.2175000000000002</v>
      </c>
      <c r="D145" s="304">
        <f>IF(B145="","",B145*'C.U. tab. riassuntiva'!$H$9)</f>
        <v>1.125</v>
      </c>
      <c r="E145" s="304">
        <f>IF(B145="","",B145*'C.U. tab. riassuntiva'!$I$9)</f>
        <v>2.4749999999999996</v>
      </c>
      <c r="F145" s="304">
        <f>IF(B145="","",B145*'C.U. tab. riassuntiva'!$J$9)</f>
        <v>0</v>
      </c>
      <c r="G145" s="3">
        <v>1.5</v>
      </c>
      <c r="H145" s="304">
        <f>IF(G145="","",G145*'C.U. tab. riassuntiva'!$G$10)</f>
        <v>8.2095000000000002</v>
      </c>
      <c r="I145" s="304">
        <f>IF(G145="","",G145*'C.U. tab. riassuntiva'!$H$10)</f>
        <v>9</v>
      </c>
      <c r="J145" s="304">
        <f>IF(G145="","",G145*'C.U. tab. riassuntiva'!$I$10)</f>
        <v>6.3149999999999995</v>
      </c>
      <c r="K145" s="304">
        <f>IF(G145="","",G145*'C.U. tab. riassuntiva'!$J$10)</f>
        <v>3.5999999999999996</v>
      </c>
      <c r="L145" s="3">
        <v>1.5</v>
      </c>
      <c r="M145" s="310">
        <f>IF(L145="","",L145*'C.U. tab. riassuntiva'!$G$10)</f>
        <v>8.2095000000000002</v>
      </c>
      <c r="N145" s="310">
        <f>IF(L145="","",L145*'C.U. tab. riassuntiva'!$H$10)</f>
        <v>9</v>
      </c>
      <c r="O145" s="310">
        <f>IF(L145="","",L145*'C.U. tab. riassuntiva'!$I$10)</f>
        <v>6.3149999999999995</v>
      </c>
      <c r="P145" s="310">
        <f>IF(L145="","",L145*'C.U. tab. riassuntiva'!$J$10)</f>
        <v>3.5999999999999996</v>
      </c>
      <c r="Q145" s="3">
        <v>1.5</v>
      </c>
      <c r="R145" s="310">
        <f>IF(Q145="","",Q145*'C.U. tab. riassuntiva'!$G$10)</f>
        <v>8.2095000000000002</v>
      </c>
      <c r="S145" s="310">
        <f>IF(Q145="","",Q145*'C.U. tab. riassuntiva'!$H$10)</f>
        <v>9</v>
      </c>
      <c r="T145" s="310">
        <f>IF(Q145="","",Q145*'C.U. tab. riassuntiva'!$I$10)</f>
        <v>6.3149999999999995</v>
      </c>
      <c r="U145" s="304">
        <f>IF(Q145="","",Q145*'C.U. tab. riassuntiva'!$J$10)</f>
        <v>3.5999999999999996</v>
      </c>
    </row>
    <row r="146" spans="1:21">
      <c r="A146" s="299" t="s">
        <v>290</v>
      </c>
      <c r="B146" s="305"/>
      <c r="C146" s="304" t="str">
        <f>IF(B146="","",B146*'C.U. tab. riassuntiva'!$G$11)</f>
        <v/>
      </c>
      <c r="D146" s="304" t="str">
        <f>IF(B146="","",B146*'C.U. tab. riassuntiva'!$H$11)</f>
        <v/>
      </c>
      <c r="E146" s="304" t="str">
        <f>IF(B146="","",B146*'C.U. tab. riassuntiva'!$I$11)</f>
        <v/>
      </c>
      <c r="F146" s="304" t="str">
        <f>IF(B146="","",B146*'C.U. tab. riassuntiva'!$J$11)</f>
        <v/>
      </c>
      <c r="G146" s="3"/>
      <c r="H146" s="304" t="str">
        <f>IF(G146="","",G146*'C.U. tab. riassuntiva'!$G$11)</f>
        <v/>
      </c>
      <c r="I146" s="304" t="str">
        <f>IF(G146="","",G146*'C.U. tab. riassuntiva'!$H$11)</f>
        <v/>
      </c>
      <c r="J146" s="304" t="str">
        <f>IF(G146="","",G146*'C.U. tab. riassuntiva'!$I$11)</f>
        <v/>
      </c>
      <c r="K146" s="304" t="str">
        <f>IF(G146="","",G146*'C.U. tab. riassuntiva'!$J$11)</f>
        <v/>
      </c>
      <c r="L146" s="3"/>
      <c r="M146" s="310" t="str">
        <f>IF(L146="","",L146*'C.U. tab. riassuntiva'!$G$11)</f>
        <v/>
      </c>
      <c r="N146" s="310" t="str">
        <f>IF(L146="","",L146*'C.U. tab. riassuntiva'!$H$11)</f>
        <v/>
      </c>
      <c r="O146" s="310" t="str">
        <f>IF(L146="","",L146*'C.U. tab. riassuntiva'!$I$11)</f>
        <v/>
      </c>
      <c r="P146" s="310" t="str">
        <f>IF(L146="","",L146*'C.U. tab. riassuntiva'!$J$11)</f>
        <v/>
      </c>
      <c r="Q146" s="3"/>
      <c r="R146" s="310" t="str">
        <f>IF(Q146="","",Q146*'C.U. tab. riassuntiva'!$G$11)</f>
        <v/>
      </c>
      <c r="S146" s="310" t="str">
        <f>IF(Q146="","",Q146*'C.U. tab. riassuntiva'!$H$11)</f>
        <v/>
      </c>
      <c r="T146" s="310" t="str">
        <f>IF(Q146="","",Q146*'C.U. tab. riassuntiva'!$I$11)</f>
        <v/>
      </c>
      <c r="U146" s="304" t="str">
        <f>IF(Q146="","",Q146*'C.U. tab. riassuntiva'!$J$11)</f>
        <v/>
      </c>
    </row>
    <row r="147" spans="1:21">
      <c r="A147" s="299" t="s">
        <v>291</v>
      </c>
      <c r="B147" s="305">
        <v>1</v>
      </c>
      <c r="C147" s="304">
        <f>IF(B147="","",B147*'C.U. tab. riassuntiva'!$G$12)</f>
        <v>3.8415000000000004</v>
      </c>
      <c r="D147" s="304"/>
      <c r="E147" s="304">
        <f>IF(B147="","",B147*'C.U. tab. riassuntiva'!$I$12)</f>
        <v>2.9550000000000001</v>
      </c>
      <c r="F147" s="304"/>
      <c r="G147" s="3">
        <v>1</v>
      </c>
      <c r="H147" s="304">
        <f>IF(G147="","",G147*'C.U. tab. riassuntiva'!$G$12)</f>
        <v>3.8415000000000004</v>
      </c>
      <c r="I147" s="304"/>
      <c r="J147" s="304">
        <f>IF(G147="","",G147*'C.U. tab. riassuntiva'!$I$12)</f>
        <v>2.9550000000000001</v>
      </c>
      <c r="K147" s="304"/>
      <c r="L147" s="3">
        <v>1</v>
      </c>
      <c r="M147" s="310">
        <f>IF(L147="","",L147*'C.U. tab. riassuntiva'!$G$13)</f>
        <v>4.8165000000000004</v>
      </c>
      <c r="N147" s="310"/>
      <c r="O147" s="310">
        <f>IF(L147="","",L147*'C.U. tab. riassuntiva'!$I$13)</f>
        <v>3.7050000000000001</v>
      </c>
      <c r="P147" s="310"/>
      <c r="Q147" s="3">
        <v>1</v>
      </c>
      <c r="R147" s="310">
        <f>IF(Q147="","",Q147*'C.U. tab. riassuntiva'!$G$13)</f>
        <v>4.8165000000000004</v>
      </c>
      <c r="S147" s="310"/>
      <c r="T147" s="310">
        <f>IF(Q147="","",Q147*'C.U. tab. riassuntiva'!$I$13)</f>
        <v>3.7050000000000001</v>
      </c>
      <c r="U147" s="304"/>
    </row>
    <row r="148" spans="1:21">
      <c r="A148" s="299" t="s">
        <v>292</v>
      </c>
      <c r="C148" s="304" t="str">
        <f>IF(B148="","",B148*'C.U. tab. riassuntiva'!$G$14)</f>
        <v/>
      </c>
      <c r="D148" s="304"/>
      <c r="E148" s="304" t="str">
        <f>IF(B148="","",B148*'C.U. tab. riassuntiva'!$I$14)</f>
        <v/>
      </c>
      <c r="F148" s="304"/>
      <c r="G148" s="62"/>
      <c r="H148" s="304" t="str">
        <f>IF(G148="","",G148*'C.U. tab. riassuntiva'!$G$14)</f>
        <v/>
      </c>
      <c r="I148" s="304"/>
      <c r="J148" s="304" t="str">
        <f>IF(G148="","",G148*'C.U. tab. riassuntiva'!$I$14)</f>
        <v/>
      </c>
      <c r="K148" s="304"/>
      <c r="L148" s="62"/>
      <c r="M148" s="310" t="str">
        <f>IF(L148="","",L148*'C.U. tab. riassuntiva'!$G$14)</f>
        <v/>
      </c>
      <c r="N148" s="310"/>
      <c r="O148" s="310" t="str">
        <f>IF(L148="","",L148*'C.U. tab. riassuntiva'!$I$14)</f>
        <v/>
      </c>
      <c r="P148" s="310"/>
      <c r="Q148" s="62"/>
      <c r="R148" s="310" t="str">
        <f>IF(Q148="","",Q148*'C.U. tab. riassuntiva'!$G$14)</f>
        <v/>
      </c>
      <c r="S148" s="310"/>
      <c r="T148" s="310" t="str">
        <f>IF(Q148="","",Q148*'C.U. tab. riassuntiva'!$I$14)</f>
        <v/>
      </c>
      <c r="U148" s="304"/>
    </row>
    <row r="149" spans="1:21">
      <c r="A149" s="299" t="s">
        <v>15</v>
      </c>
      <c r="B149" s="305"/>
      <c r="C149" s="77" t="str">
        <f>IF(B149="","",B149*'C.U. tab. riassuntiva'!$G$16)</f>
        <v/>
      </c>
      <c r="D149" s="77"/>
      <c r="E149" s="77" t="str">
        <f>IF(B149="","",B149*'C.U. tab. riassuntiva'!$I$16)</f>
        <v/>
      </c>
      <c r="F149" s="77"/>
      <c r="G149" s="3">
        <v>0.8</v>
      </c>
      <c r="H149" s="77">
        <f>IF(G149="","",G149*'C.U. tab. riassuntiva'!$G$16)</f>
        <v>5.9488000000000012</v>
      </c>
      <c r="I149" s="77"/>
      <c r="J149" s="77">
        <f>IF(G149="","",G149*'C.U. tab. riassuntiva'!$I$16)</f>
        <v>4.5760000000000005</v>
      </c>
      <c r="K149" s="77"/>
      <c r="L149" s="3">
        <v>0.8</v>
      </c>
      <c r="M149" s="77">
        <f>IF(L149="","",L149*'C.U. tab. riassuntiva'!$G$16)</f>
        <v>5.9488000000000012</v>
      </c>
      <c r="N149" s="77"/>
      <c r="O149" s="77">
        <f>IF(L149="","",L149*'C.U. tab. riassuntiva'!$I$16)</f>
        <v>4.5760000000000005</v>
      </c>
      <c r="P149" s="77"/>
      <c r="Q149" s="3">
        <v>0.8</v>
      </c>
      <c r="R149" s="77">
        <f>IF(Q149="","",Q149*'C.U. tab. riassuntiva'!$G$16)</f>
        <v>5.9488000000000012</v>
      </c>
      <c r="S149" s="77"/>
      <c r="T149" s="77">
        <f>IF(Q149="","",Q149*'C.U. tab. riassuntiva'!$I$16)</f>
        <v>4.5760000000000005</v>
      </c>
      <c r="U149" s="77"/>
    </row>
    <row r="150" spans="1:21">
      <c r="A150" s="299"/>
      <c r="C150" s="284">
        <f>SUM(C144:C149)</f>
        <v>19.510075000000001</v>
      </c>
      <c r="D150" s="284">
        <f>SUM(D144:D149)</f>
        <v>7.9499999999999993</v>
      </c>
      <c r="E150" s="284">
        <f>SUM(E144:E149)</f>
        <v>15.00775</v>
      </c>
      <c r="F150" s="284">
        <f>SUM(F144:F149)</f>
        <v>1.365</v>
      </c>
      <c r="G150" s="62"/>
      <c r="H150" s="284">
        <f>SUM(H144:H149)</f>
        <v>30.095975000000003</v>
      </c>
      <c r="I150" s="284">
        <f>SUM(I144:I149)</f>
        <v>19.920000000000002</v>
      </c>
      <c r="J150" s="284">
        <f>SUM(J144:J149)</f>
        <v>23.150749999999999</v>
      </c>
      <c r="K150" s="284">
        <f>SUM(K144:K149)</f>
        <v>7.6949999999999994</v>
      </c>
      <c r="L150" s="62"/>
      <c r="M150" s="284">
        <f>SUM(M144:M149)</f>
        <v>31.070975000000004</v>
      </c>
      <c r="N150" s="284">
        <f>SUM(N144:N149)</f>
        <v>19.920000000000002</v>
      </c>
      <c r="O150" s="284">
        <f>SUM(O144:O149)</f>
        <v>23.900749999999999</v>
      </c>
      <c r="P150" s="284">
        <f>SUM(P144:P149)</f>
        <v>7.6949999999999994</v>
      </c>
      <c r="Q150" s="62"/>
      <c r="R150" s="284">
        <f>SUM(R144:R149)</f>
        <v>31.070975000000004</v>
      </c>
      <c r="S150" s="284">
        <f>SUM(S144:S149)</f>
        <v>19.920000000000002</v>
      </c>
      <c r="T150" s="284">
        <f>SUM(T144:T149)</f>
        <v>23.900749999999999</v>
      </c>
      <c r="U150" s="284">
        <f>SUM(U144:U149)</f>
        <v>7.6949999999999994</v>
      </c>
    </row>
    <row r="151" spans="1:21">
      <c r="A151" s="43"/>
      <c r="C151" s="471">
        <f>C150+D150</f>
        <v>27.460075</v>
      </c>
      <c r="D151" s="472"/>
      <c r="E151" s="471">
        <f>E150+F150</f>
        <v>16.37275</v>
      </c>
      <c r="F151" s="472"/>
      <c r="H151" s="471">
        <f>H150+I150</f>
        <v>50.015975000000005</v>
      </c>
      <c r="I151" s="471"/>
      <c r="J151" s="471">
        <f>J150+K150</f>
        <v>30.845749999999999</v>
      </c>
      <c r="K151" s="471"/>
      <c r="L151" s="314"/>
      <c r="M151" s="471">
        <f>M150+N150</f>
        <v>50.990975000000006</v>
      </c>
      <c r="N151" s="471"/>
      <c r="O151" s="471">
        <f>O150+P150</f>
        <v>31.595749999999999</v>
      </c>
      <c r="P151" s="471"/>
      <c r="Q151" s="314"/>
      <c r="R151" s="471">
        <f>R150+S150</f>
        <v>50.990975000000006</v>
      </c>
      <c r="S151" s="471"/>
      <c r="T151" s="471">
        <f>T150+U150</f>
        <v>31.595749999999999</v>
      </c>
      <c r="U151" s="471"/>
    </row>
    <row r="153" spans="1:21">
      <c r="A153" s="272" t="s">
        <v>287</v>
      </c>
      <c r="B153" s="43"/>
      <c r="C153" s="289" t="s">
        <v>293</v>
      </c>
      <c r="G153" s="314"/>
      <c r="H153" s="289" t="s">
        <v>303</v>
      </c>
      <c r="I153" s="314"/>
      <c r="J153" s="314"/>
      <c r="K153" s="314"/>
      <c r="L153" s="314"/>
      <c r="M153" s="289" t="s">
        <v>331</v>
      </c>
      <c r="N153" s="314"/>
      <c r="R153" s="289" t="s">
        <v>330</v>
      </c>
    </row>
    <row r="154" spans="1:21" ht="18.75">
      <c r="A154" s="303" t="s">
        <v>343</v>
      </c>
      <c r="C154" s="285" t="s">
        <v>304</v>
      </c>
      <c r="D154" s="285" t="s">
        <v>305</v>
      </c>
      <c r="E154" s="285" t="s">
        <v>306</v>
      </c>
      <c r="F154" s="286" t="s">
        <v>307</v>
      </c>
      <c r="G154" s="62"/>
      <c r="H154" s="285" t="s">
        <v>304</v>
      </c>
      <c r="I154" s="285" t="s">
        <v>305</v>
      </c>
      <c r="J154" s="285" t="s">
        <v>306</v>
      </c>
      <c r="K154" s="286" t="s">
        <v>307</v>
      </c>
      <c r="L154" s="62"/>
      <c r="M154" s="285" t="s">
        <v>304</v>
      </c>
      <c r="N154" s="285" t="s">
        <v>305</v>
      </c>
      <c r="O154" s="285" t="s">
        <v>306</v>
      </c>
      <c r="P154" s="286" t="s">
        <v>307</v>
      </c>
      <c r="Q154" s="62"/>
      <c r="R154" s="285" t="s">
        <v>304</v>
      </c>
      <c r="S154" s="285" t="s">
        <v>305</v>
      </c>
      <c r="T154" s="285" t="s">
        <v>306</v>
      </c>
      <c r="U154" s="286" t="s">
        <v>307</v>
      </c>
    </row>
    <row r="155" spans="1:21" ht="15.75">
      <c r="A155" s="303"/>
      <c r="C155" s="285"/>
      <c r="D155" s="285"/>
      <c r="E155" s="285"/>
      <c r="F155" s="286"/>
      <c r="G155" s="62"/>
      <c r="H155" s="285"/>
      <c r="I155" s="285"/>
      <c r="J155" s="285"/>
      <c r="K155" s="286"/>
      <c r="L155" s="62"/>
      <c r="M155" s="285"/>
      <c r="N155" s="285"/>
      <c r="O155" s="285"/>
      <c r="P155" s="286"/>
      <c r="Q155" s="62"/>
      <c r="R155" s="285"/>
      <c r="S155" s="285"/>
      <c r="T155" s="285"/>
      <c r="U155" s="286"/>
    </row>
    <row r="156" spans="1:21">
      <c r="A156" s="299" t="s">
        <v>288</v>
      </c>
      <c r="B156" s="304">
        <f>1*(5.25/2)</f>
        <v>2.625</v>
      </c>
      <c r="C156" s="304">
        <f>IF(B156="","",B156*'C.U. tab. riassuntiva'!$G$7)</f>
        <v>14.366624999999999</v>
      </c>
      <c r="D156" s="304">
        <f>IF(B156="","",B156*'C.U. tab. riassuntiva'!$H$7)</f>
        <v>7.875</v>
      </c>
      <c r="E156" s="304">
        <f>IF(B156="","",B156*'C.U. tab. riassuntiva'!$I$7)</f>
        <v>11.05125</v>
      </c>
      <c r="F156" s="304">
        <f>IF(B156="","",B156*'C.U. tab. riassuntiva'!$J$7)</f>
        <v>1.575</v>
      </c>
      <c r="G156" s="23">
        <f>1*(5.25/2)</f>
        <v>2.625</v>
      </c>
      <c r="H156" s="310">
        <f>IF(G156="","",G156*'C.U. tab. riassuntiva'!$G$4)</f>
        <v>13.957125000000001</v>
      </c>
      <c r="I156" s="310">
        <f>IF(G156="","",G156*'C.U. tab. riassuntiva'!$H$4)</f>
        <v>12.6</v>
      </c>
      <c r="J156" s="310">
        <f>IF(G156="","",G156*'C.U. tab. riassuntiva'!$I$4)</f>
        <v>10.73625</v>
      </c>
      <c r="K156" s="310">
        <f>IF(G156="","",G156*'C.U. tab. riassuntiva'!$J$4)</f>
        <v>4.7249999999999996</v>
      </c>
      <c r="L156" s="23">
        <f>1*(5.25/2)</f>
        <v>2.625</v>
      </c>
      <c r="M156" s="310">
        <f>IF(L156="","",L156*'C.U. tab. riassuntiva'!$G$4)</f>
        <v>13.957125000000001</v>
      </c>
      <c r="N156" s="310">
        <f>IF(L156="","",L156*'C.U. tab. riassuntiva'!$H$4)</f>
        <v>12.6</v>
      </c>
      <c r="O156" s="304">
        <f>IF(L156="","",L156*'C.U. tab. riassuntiva'!$I$4)</f>
        <v>10.73625</v>
      </c>
      <c r="P156" s="304">
        <f>IF(L156="","",L156*'C.U. tab. riassuntiva'!$J$4)</f>
        <v>4.7249999999999996</v>
      </c>
      <c r="Q156" s="23">
        <f>1*(5.25/2)</f>
        <v>2.625</v>
      </c>
      <c r="R156" s="304">
        <f>IF(Q156="","",Q156*'C.U. tab. riassuntiva'!$G$4)</f>
        <v>13.957125000000001</v>
      </c>
      <c r="S156" s="304">
        <f>IF(Q156="","",Q156*'C.U. tab. riassuntiva'!$H$4)</f>
        <v>12.6</v>
      </c>
      <c r="T156" s="304">
        <f>IF(Q156="","",Q156*'C.U. tab. riassuntiva'!$I$4)</f>
        <v>10.73625</v>
      </c>
      <c r="U156" s="304">
        <f>IF(Q156="","",Q156*'C.U. tab. riassuntiva'!$J$4)</f>
        <v>4.7249999999999996</v>
      </c>
    </row>
    <row r="157" spans="1:21">
      <c r="A157" s="299" t="s">
        <v>289</v>
      </c>
      <c r="B157" s="305">
        <v>0.3</v>
      </c>
      <c r="C157" s="304">
        <f>IF(B157="","",B157*'C.U. tab. riassuntiva'!$G$9)</f>
        <v>0.64349999999999996</v>
      </c>
      <c r="D157" s="304">
        <f>IF(B157="","",B157*'C.U. tab. riassuntiva'!$H$9)</f>
        <v>0.22499999999999998</v>
      </c>
      <c r="E157" s="304">
        <f>IF(B157="","",B157*'C.U. tab. riassuntiva'!$I$9)</f>
        <v>0.49499999999999994</v>
      </c>
      <c r="F157" s="304">
        <f>IF(B157="","",B157*'C.U. tab. riassuntiva'!$J$9)</f>
        <v>0</v>
      </c>
      <c r="G157" s="3"/>
      <c r="H157" s="310" t="str">
        <f>IF(G157="","",G157*'C.U. tab. riassuntiva'!$G$10)</f>
        <v/>
      </c>
      <c r="I157" s="310" t="str">
        <f>IF(G157="","",G157*'C.U. tab. riassuntiva'!$H$10)</f>
        <v/>
      </c>
      <c r="J157" s="310" t="str">
        <f>IF(G157="","",G157*'C.U. tab. riassuntiva'!$I$10)</f>
        <v/>
      </c>
      <c r="K157" s="310" t="str">
        <f>IF(G157="","",G157*'C.U. tab. riassuntiva'!$J$10)</f>
        <v/>
      </c>
      <c r="L157" s="3"/>
      <c r="M157" s="310" t="str">
        <f>IF(L157="","",L157*'C.U. tab. riassuntiva'!$G$10)</f>
        <v/>
      </c>
      <c r="N157" s="310" t="str">
        <f>IF(L157="","",L157*'C.U. tab. riassuntiva'!$H$10)</f>
        <v/>
      </c>
      <c r="O157" s="304" t="str">
        <f>IF(L157="","",L157*'C.U. tab. riassuntiva'!$I$10)</f>
        <v/>
      </c>
      <c r="P157" s="304" t="str">
        <f>IF(L157="","",L157*'C.U. tab. riassuntiva'!$J$10)</f>
        <v/>
      </c>
      <c r="Q157" s="3"/>
      <c r="R157" s="304" t="str">
        <f>IF(Q157="","",Q157*'C.U. tab. riassuntiva'!$G$10)</f>
        <v/>
      </c>
      <c r="S157" s="304" t="str">
        <f>IF(Q157="","",Q157*'C.U. tab. riassuntiva'!$H$10)</f>
        <v/>
      </c>
      <c r="T157" s="304" t="str">
        <f>IF(Q157="","",Q157*'C.U. tab. riassuntiva'!$I$10)</f>
        <v/>
      </c>
      <c r="U157" s="304" t="str">
        <f>IF(Q157="","",Q157*'C.U. tab. riassuntiva'!$J$10)</f>
        <v/>
      </c>
    </row>
    <row r="158" spans="1:21">
      <c r="A158" s="299" t="s">
        <v>290</v>
      </c>
      <c r="B158" s="305"/>
      <c r="C158" s="304" t="str">
        <f>IF(B158="","",B158*'C.U. tab. riassuntiva'!$G$11)</f>
        <v/>
      </c>
      <c r="D158" s="304" t="str">
        <f>IF(B158="","",B158*'C.U. tab. riassuntiva'!$H$11)</f>
        <v/>
      </c>
      <c r="E158" s="304" t="str">
        <f>IF(B158="","",B158*'C.U. tab. riassuntiva'!$I$11)</f>
        <v/>
      </c>
      <c r="F158" s="304" t="str">
        <f>IF(B158="","",B158*'C.U. tab. riassuntiva'!$J$11)</f>
        <v/>
      </c>
      <c r="G158" s="3"/>
      <c r="H158" s="310" t="str">
        <f>IF(G158="","",G158*'C.U. tab. riassuntiva'!$G$11)</f>
        <v/>
      </c>
      <c r="I158" s="310" t="str">
        <f>IF(G158="","",G158*'C.U. tab. riassuntiva'!$H$11)</f>
        <v/>
      </c>
      <c r="J158" s="310" t="str">
        <f>IF(G158="","",G158*'C.U. tab. riassuntiva'!$I$11)</f>
        <v/>
      </c>
      <c r="K158" s="310" t="str">
        <f>IF(G158="","",G158*'C.U. tab. riassuntiva'!$J$11)</f>
        <v/>
      </c>
      <c r="L158" s="3"/>
      <c r="M158" s="310" t="str">
        <f>IF(L158="","",L158*'C.U. tab. riassuntiva'!$G$11)</f>
        <v/>
      </c>
      <c r="N158" s="310" t="str">
        <f>IF(L158="","",L158*'C.U. tab. riassuntiva'!$H$11)</f>
        <v/>
      </c>
      <c r="O158" s="304" t="str">
        <f>IF(L158="","",L158*'C.U. tab. riassuntiva'!$I$11)</f>
        <v/>
      </c>
      <c r="P158" s="304" t="str">
        <f>IF(L158="","",L158*'C.U. tab. riassuntiva'!$J$11)</f>
        <v/>
      </c>
      <c r="Q158" s="3"/>
      <c r="R158" s="304" t="str">
        <f>IF(Q158="","",Q158*'C.U. tab. riassuntiva'!$G$11)</f>
        <v/>
      </c>
      <c r="S158" s="304" t="str">
        <f>IF(Q158="","",Q158*'C.U. tab. riassuntiva'!$H$11)</f>
        <v/>
      </c>
      <c r="T158" s="304" t="str">
        <f>IF(Q158="","",Q158*'C.U. tab. riassuntiva'!$I$11)</f>
        <v/>
      </c>
      <c r="U158" s="304" t="str">
        <f>IF(Q158="","",Q158*'C.U. tab. riassuntiva'!$J$11)</f>
        <v/>
      </c>
    </row>
    <row r="159" spans="1:21">
      <c r="A159" s="299" t="s">
        <v>291</v>
      </c>
      <c r="B159" s="305">
        <v>1</v>
      </c>
      <c r="C159" s="304">
        <f>IF(B159="","",B159*'C.U. tab. riassuntiva'!$G$12)</f>
        <v>3.8415000000000004</v>
      </c>
      <c r="D159" s="304"/>
      <c r="E159" s="304">
        <f>IF(B159="","",B159*'C.U. tab. riassuntiva'!$I$12)</f>
        <v>2.9550000000000001</v>
      </c>
      <c r="F159" s="304"/>
      <c r="G159" s="3">
        <v>1</v>
      </c>
      <c r="H159" s="310">
        <f>IF(G159="","",G159*'C.U. tab. riassuntiva'!$G$12)</f>
        <v>3.8415000000000004</v>
      </c>
      <c r="I159" s="310"/>
      <c r="J159" s="310">
        <f>IF(G159="","",G159*'C.U. tab. riassuntiva'!$I$12)</f>
        <v>2.9550000000000001</v>
      </c>
      <c r="K159" s="310"/>
      <c r="L159" s="3">
        <v>1</v>
      </c>
      <c r="M159" s="310">
        <f>IF(L159="","",L159*'C.U. tab. riassuntiva'!$G$13)</f>
        <v>4.8165000000000004</v>
      </c>
      <c r="N159" s="310"/>
      <c r="O159" s="304">
        <f>IF(L159="","",L159*'C.U. tab. riassuntiva'!$I$13)</f>
        <v>3.7050000000000001</v>
      </c>
      <c r="P159" s="304"/>
      <c r="Q159" s="3">
        <v>1</v>
      </c>
      <c r="R159" s="304">
        <f>IF(Q159="","",Q159*'C.U. tab. riassuntiva'!$G$13)</f>
        <v>4.8165000000000004</v>
      </c>
      <c r="S159" s="304"/>
      <c r="T159" s="304">
        <f>IF(Q159="","",Q159*'C.U. tab. riassuntiva'!$I$13)</f>
        <v>3.7050000000000001</v>
      </c>
      <c r="U159" s="304"/>
    </row>
    <row r="160" spans="1:21">
      <c r="A160" s="299" t="s">
        <v>292</v>
      </c>
      <c r="C160" s="304" t="str">
        <f>IF(B160="","",B160*'C.U. tab. riassuntiva'!$G$14)</f>
        <v/>
      </c>
      <c r="D160" s="304"/>
      <c r="E160" s="304" t="str">
        <f>IF(B160="","",B160*'C.U. tab. riassuntiva'!$I$14)</f>
        <v/>
      </c>
      <c r="F160" s="304"/>
      <c r="G160" s="62"/>
      <c r="H160" s="310" t="str">
        <f>IF(G160="","",G160*'C.U. tab. riassuntiva'!$G$14)</f>
        <v/>
      </c>
      <c r="I160" s="310"/>
      <c r="J160" s="310" t="str">
        <f>IF(G160="","",G160*'C.U. tab. riassuntiva'!$I$14)</f>
        <v/>
      </c>
      <c r="K160" s="310"/>
      <c r="L160" s="62"/>
      <c r="M160" s="310" t="str">
        <f>IF(L160="","",L160*'C.U. tab. riassuntiva'!$G$14)</f>
        <v/>
      </c>
      <c r="N160" s="310"/>
      <c r="O160" s="304" t="str">
        <f>IF(L160="","",L160*'C.U. tab. riassuntiva'!$I$14)</f>
        <v/>
      </c>
      <c r="P160" s="304"/>
      <c r="Q160" s="62"/>
      <c r="R160" s="304" t="str">
        <f>IF(Q160="","",Q160*'C.U. tab. riassuntiva'!$G$14)</f>
        <v/>
      </c>
      <c r="S160" s="304"/>
      <c r="T160" s="304" t="str">
        <f>IF(Q160="","",Q160*'C.U. tab. riassuntiva'!$I$14)</f>
        <v/>
      </c>
      <c r="U160" s="304"/>
    </row>
    <row r="161" spans="1:24">
      <c r="A161" s="299" t="s">
        <v>15</v>
      </c>
      <c r="B161" s="305"/>
      <c r="C161" s="77" t="str">
        <f>IF(B161="","",B161*'C.U. tab. riassuntiva'!$G$16)</f>
        <v/>
      </c>
      <c r="D161" s="77"/>
      <c r="E161" s="77" t="str">
        <f>IF(B161="","",B161*'C.U. tab. riassuntiva'!$I$16)</f>
        <v/>
      </c>
      <c r="F161" s="77"/>
      <c r="G161" s="3">
        <v>0.9</v>
      </c>
      <c r="H161" s="77">
        <f>IF(G161="","",G161*'C.U. tab. riassuntiva'!$G$16)</f>
        <v>6.692400000000001</v>
      </c>
      <c r="I161" s="77"/>
      <c r="J161" s="77">
        <f>IF(G161="","",G161*'C.U. tab. riassuntiva'!$I$16)</f>
        <v>5.1480000000000006</v>
      </c>
      <c r="K161" s="77"/>
      <c r="L161" s="3">
        <v>0.9</v>
      </c>
      <c r="M161" s="77">
        <f>IF(L161="","",L161*'C.U. tab. riassuntiva'!$G$16)</f>
        <v>6.692400000000001</v>
      </c>
      <c r="N161" s="77"/>
      <c r="O161" s="77">
        <f>IF(L161="","",L161*'C.U. tab. riassuntiva'!$I$16)</f>
        <v>5.1480000000000006</v>
      </c>
      <c r="P161" s="77"/>
      <c r="Q161" s="3">
        <v>0.9</v>
      </c>
      <c r="R161" s="77">
        <f>IF(Q161="","",Q161*'C.U. tab. riassuntiva'!$G$16)</f>
        <v>6.692400000000001</v>
      </c>
      <c r="S161" s="77"/>
      <c r="T161" s="77">
        <f>IF(Q161="","",Q161*'C.U. tab. riassuntiva'!$I$16)</f>
        <v>5.1480000000000006</v>
      </c>
      <c r="U161" s="77"/>
    </row>
    <row r="162" spans="1:24">
      <c r="A162" s="299"/>
      <c r="C162" s="284">
        <f>SUM(C156:C161)</f>
        <v>18.851624999999999</v>
      </c>
      <c r="D162" s="284">
        <f>SUM(D156:D161)</f>
        <v>8.1</v>
      </c>
      <c r="E162" s="284">
        <f>SUM(E156:E161)</f>
        <v>14.501249999999999</v>
      </c>
      <c r="F162" s="284">
        <f>SUM(F156:F161)</f>
        <v>1.575</v>
      </c>
      <c r="G162" s="62"/>
      <c r="H162" s="284">
        <f>SUM(H156:H161)</f>
        <v>24.491025</v>
      </c>
      <c r="I162" s="284">
        <f>SUM(I156:I161)</f>
        <v>12.6</v>
      </c>
      <c r="J162" s="284">
        <f>SUM(J156:J161)</f>
        <v>18.83925</v>
      </c>
      <c r="K162" s="284">
        <f>SUM(K156:K161)</f>
        <v>4.7249999999999996</v>
      </c>
      <c r="L162" s="62"/>
      <c r="M162" s="284">
        <f>SUM(M156:M161)</f>
        <v>25.466025000000002</v>
      </c>
      <c r="N162" s="284">
        <f>SUM(N156:N161)</f>
        <v>12.6</v>
      </c>
      <c r="O162" s="284">
        <f>SUM(O156:O161)</f>
        <v>19.58925</v>
      </c>
      <c r="P162" s="284">
        <f>SUM(P156:P161)</f>
        <v>4.7249999999999996</v>
      </c>
      <c r="Q162" s="62"/>
      <c r="R162" s="284">
        <f>SUM(R156:R161)</f>
        <v>25.466025000000002</v>
      </c>
      <c r="S162" s="284">
        <f>SUM(S156:S161)</f>
        <v>12.6</v>
      </c>
      <c r="T162" s="284">
        <f>SUM(T156:T161)</f>
        <v>19.58925</v>
      </c>
      <c r="U162" s="284">
        <f>SUM(U156:U161)</f>
        <v>4.7249999999999996</v>
      </c>
    </row>
    <row r="163" spans="1:24">
      <c r="C163" s="471">
        <f>C162+D162</f>
        <v>26.951625</v>
      </c>
      <c r="D163" s="472"/>
      <c r="E163" s="471">
        <f>E162+F162</f>
        <v>16.076249999999998</v>
      </c>
      <c r="F163" s="472"/>
      <c r="G163" s="314"/>
      <c r="H163" s="471">
        <f>H162+I162</f>
        <v>37.091025000000002</v>
      </c>
      <c r="I163" s="471"/>
      <c r="J163" s="471">
        <f>J162+K162</f>
        <v>23.564250000000001</v>
      </c>
      <c r="K163" s="471"/>
      <c r="L163" s="314"/>
      <c r="M163" s="471">
        <f>M162+N162</f>
        <v>38.066025000000003</v>
      </c>
      <c r="N163" s="471"/>
      <c r="O163" s="471">
        <f>O162+P162</f>
        <v>24.314250000000001</v>
      </c>
      <c r="P163" s="472"/>
      <c r="R163" s="471">
        <f>R162+S162</f>
        <v>38.066025000000003</v>
      </c>
      <c r="S163" s="471"/>
      <c r="T163" s="471">
        <f>T162+U162</f>
        <v>24.314250000000001</v>
      </c>
      <c r="U163" s="471"/>
    </row>
    <row r="164" spans="1:24">
      <c r="C164" s="304"/>
      <c r="E164" s="304"/>
      <c r="I164" s="304"/>
      <c r="K164" s="304"/>
      <c r="O164" s="304"/>
      <c r="Q164" s="304"/>
      <c r="U164" s="304"/>
      <c r="V164" s="304"/>
      <c r="W164" s="304"/>
      <c r="X164" s="304"/>
    </row>
    <row r="166" spans="1:24">
      <c r="A166" s="433" t="s">
        <v>287</v>
      </c>
      <c r="B166" s="12"/>
      <c r="C166" s="434" t="s">
        <v>293</v>
      </c>
      <c r="D166" s="142"/>
      <c r="E166" s="142"/>
      <c r="F166" s="142"/>
      <c r="G166" s="142"/>
      <c r="H166" s="434" t="s">
        <v>303</v>
      </c>
      <c r="I166" s="142"/>
      <c r="J166" s="142"/>
      <c r="K166" s="142"/>
      <c r="L166" s="142"/>
      <c r="M166" s="434" t="s">
        <v>331</v>
      </c>
      <c r="N166" s="142"/>
      <c r="O166" s="142"/>
      <c r="P166" s="142"/>
      <c r="Q166" s="142"/>
      <c r="R166" s="434" t="s">
        <v>330</v>
      </c>
      <c r="S166" s="142"/>
      <c r="T166" s="142"/>
      <c r="U166" s="142"/>
    </row>
    <row r="167" spans="1:24" ht="18.75">
      <c r="A167" s="335" t="s">
        <v>344</v>
      </c>
      <c r="B167" s="142"/>
      <c r="C167" s="435" t="s">
        <v>304</v>
      </c>
      <c r="D167" s="435" t="s">
        <v>305</v>
      </c>
      <c r="E167" s="435" t="s">
        <v>306</v>
      </c>
      <c r="F167" s="436" t="s">
        <v>307</v>
      </c>
      <c r="G167" s="281"/>
      <c r="H167" s="435" t="s">
        <v>304</v>
      </c>
      <c r="I167" s="435" t="s">
        <v>305</v>
      </c>
      <c r="J167" s="435" t="s">
        <v>306</v>
      </c>
      <c r="K167" s="436" t="s">
        <v>307</v>
      </c>
      <c r="L167" s="281"/>
      <c r="M167" s="435" t="s">
        <v>304</v>
      </c>
      <c r="N167" s="435" t="s">
        <v>305</v>
      </c>
      <c r="O167" s="435" t="s">
        <v>306</v>
      </c>
      <c r="P167" s="436" t="s">
        <v>307</v>
      </c>
      <c r="Q167" s="281"/>
      <c r="R167" s="435" t="s">
        <v>304</v>
      </c>
      <c r="S167" s="435" t="s">
        <v>305</v>
      </c>
      <c r="T167" s="435" t="s">
        <v>306</v>
      </c>
      <c r="U167" s="436" t="s">
        <v>307</v>
      </c>
    </row>
    <row r="168" spans="1:24" ht="15.75">
      <c r="A168" s="335"/>
      <c r="B168" s="142"/>
      <c r="C168" s="435"/>
      <c r="D168" s="435"/>
      <c r="E168" s="435"/>
      <c r="F168" s="436"/>
      <c r="G168" s="281"/>
      <c r="H168" s="435"/>
      <c r="I168" s="435"/>
      <c r="J168" s="435"/>
      <c r="K168" s="436"/>
      <c r="L168" s="281"/>
      <c r="M168" s="435"/>
      <c r="N168" s="435"/>
      <c r="O168" s="435"/>
      <c r="P168" s="436"/>
      <c r="Q168" s="281"/>
      <c r="R168" s="435"/>
      <c r="S168" s="435"/>
      <c r="T168" s="435"/>
      <c r="U168" s="436"/>
    </row>
    <row r="169" spans="1:24">
      <c r="A169" s="299" t="s">
        <v>288</v>
      </c>
      <c r="B169" s="304">
        <f>1.27</f>
        <v>1.27</v>
      </c>
      <c r="C169" s="304">
        <f>IF(B169="","",B169*'C.U. tab. riassuntiva'!$G$7)</f>
        <v>6.9507099999999999</v>
      </c>
      <c r="D169" s="304">
        <f>IF(B169="","",B169*'C.U. tab. riassuntiva'!$H$7)</f>
        <v>3.81</v>
      </c>
      <c r="E169" s="304">
        <f>IF(B169="","",B169*'C.U. tab. riassuntiva'!$I$7)</f>
        <v>5.3467000000000002</v>
      </c>
      <c r="F169" s="304">
        <f>IF(B169="","",B169*'C.U. tab. riassuntiva'!$J$7)</f>
        <v>0.76200000000000001</v>
      </c>
      <c r="G169" s="23">
        <f>1.27</f>
        <v>1.27</v>
      </c>
      <c r="H169" s="304">
        <f>IF(G169="","",G169*'C.U. tab. riassuntiva'!$G$4)</f>
        <v>6.7525900000000005</v>
      </c>
      <c r="I169" s="304">
        <f>IF(G169="","",G169*'C.U. tab. riassuntiva'!$H$4)</f>
        <v>6.0960000000000001</v>
      </c>
      <c r="J169" s="304">
        <f>IF(G169="","",G169*'C.U. tab. riassuntiva'!$I$4)</f>
        <v>5.1943000000000001</v>
      </c>
      <c r="K169" s="304">
        <f>IF(G169="","",G169*'C.U. tab. riassuntiva'!$J$4)</f>
        <v>2.2859999999999996</v>
      </c>
      <c r="L169" s="23">
        <f>1.27</f>
        <v>1.27</v>
      </c>
      <c r="M169" s="304">
        <f>IF(L169="","",L169*'C.U. tab. riassuntiva'!$G$4)</f>
        <v>6.7525900000000005</v>
      </c>
      <c r="N169" s="304">
        <f>IF(L169="","",L169*'C.U. tab. riassuntiva'!$H$4)</f>
        <v>6.0960000000000001</v>
      </c>
      <c r="O169" s="304">
        <f>IF(L169="","",L169*'C.U. tab. riassuntiva'!$I$4)</f>
        <v>5.1943000000000001</v>
      </c>
      <c r="P169" s="304">
        <f>IF(L169="","",L169*'C.U. tab. riassuntiva'!$J$4)</f>
        <v>2.2859999999999996</v>
      </c>
      <c r="Q169" s="23">
        <f>1.27</f>
        <v>1.27</v>
      </c>
      <c r="R169" s="304">
        <f>IF(Q169="","",Q169*'C.U. tab. riassuntiva'!$G$4)</f>
        <v>6.7525900000000005</v>
      </c>
      <c r="S169" s="304">
        <f>IF(Q169="","",Q169*'C.U. tab. riassuntiva'!$H$4)</f>
        <v>6.0960000000000001</v>
      </c>
      <c r="T169" s="304">
        <f>IF(Q169="","",Q169*'C.U. tab. riassuntiva'!$I$4)</f>
        <v>5.1943000000000001</v>
      </c>
      <c r="U169" s="304">
        <f>IF(Q169="","",Q169*'C.U. tab. riassuntiva'!$J$4)</f>
        <v>2.2859999999999996</v>
      </c>
    </row>
    <row r="170" spans="1:24">
      <c r="A170" s="299" t="s">
        <v>289</v>
      </c>
      <c r="B170" s="305">
        <f>1.5</f>
        <v>1.5</v>
      </c>
      <c r="C170" s="304">
        <f>IF(B170="","",B170*'C.U. tab. riassuntiva'!$G$9)</f>
        <v>3.2175000000000002</v>
      </c>
      <c r="D170" s="304">
        <f>IF(B170="","",B170*'C.U. tab. riassuntiva'!$H$9)</f>
        <v>1.125</v>
      </c>
      <c r="E170" s="304">
        <f>IF(B170="","",B170*'C.U. tab. riassuntiva'!$I$9)</f>
        <v>2.4749999999999996</v>
      </c>
      <c r="F170" s="304">
        <f>IF(B170="","",B170*'C.U. tab. riassuntiva'!$J$9)</f>
        <v>0</v>
      </c>
      <c r="G170" s="3">
        <v>1.5</v>
      </c>
      <c r="H170" s="304">
        <f>IF(G170="","",G170*'C.U. tab. riassuntiva'!$G$10)</f>
        <v>8.2095000000000002</v>
      </c>
      <c r="I170" s="304">
        <f>IF(G170="","",G170*'C.U. tab. riassuntiva'!$H$10)</f>
        <v>9</v>
      </c>
      <c r="J170" s="304">
        <f>IF(G170="","",G170*'C.U. tab. riassuntiva'!$I$10)</f>
        <v>6.3149999999999995</v>
      </c>
      <c r="K170" s="304">
        <f>IF(G170="","",G170*'C.U. tab. riassuntiva'!$J$10)</f>
        <v>3.5999999999999996</v>
      </c>
      <c r="L170" s="3">
        <v>1.5</v>
      </c>
      <c r="M170" s="304">
        <f>IF(L170="","",L170*'C.U. tab. riassuntiva'!$G$10)</f>
        <v>8.2095000000000002</v>
      </c>
      <c r="N170" s="304">
        <f>IF(L170="","",L170*'C.U. tab. riassuntiva'!$H$10)</f>
        <v>9</v>
      </c>
      <c r="O170" s="304">
        <f>IF(L170="","",L170*'C.U. tab. riassuntiva'!$I$10)</f>
        <v>6.3149999999999995</v>
      </c>
      <c r="P170" s="304">
        <f>IF(L170="","",L170*'C.U. tab. riassuntiva'!$J$10)</f>
        <v>3.5999999999999996</v>
      </c>
      <c r="Q170" s="3">
        <v>1.5</v>
      </c>
      <c r="R170" s="304">
        <f>IF(Q170="","",Q170*'C.U. tab. riassuntiva'!$G$10)</f>
        <v>8.2095000000000002</v>
      </c>
      <c r="S170" s="304">
        <f>IF(Q170="","",Q170*'C.U. tab. riassuntiva'!$H$10)</f>
        <v>9</v>
      </c>
      <c r="T170" s="304">
        <f>IF(Q170="","",Q170*'C.U. tab. riassuntiva'!$I$10)</f>
        <v>6.3149999999999995</v>
      </c>
      <c r="U170" s="304">
        <f>IF(Q170="","",Q170*'C.U. tab. riassuntiva'!$J$10)</f>
        <v>3.5999999999999996</v>
      </c>
    </row>
    <row r="171" spans="1:24">
      <c r="A171" s="299" t="s">
        <v>290</v>
      </c>
      <c r="B171" s="305"/>
      <c r="C171" s="304" t="str">
        <f>IF(B171="","",B171*'C.U. tab. riassuntiva'!$G$11)</f>
        <v/>
      </c>
      <c r="D171" s="304" t="str">
        <f>IF(B171="","",B171*'C.U. tab. riassuntiva'!$H$11)</f>
        <v/>
      </c>
      <c r="E171" s="304" t="str">
        <f>IF(B171="","",B171*'C.U. tab. riassuntiva'!$I$11)</f>
        <v/>
      </c>
      <c r="F171" s="304" t="str">
        <f>IF(B171="","",B171*'C.U. tab. riassuntiva'!$J$11)</f>
        <v/>
      </c>
      <c r="G171" s="3"/>
      <c r="H171" s="304" t="str">
        <f>IF(G171="","",G171*'C.U. tab. riassuntiva'!$G$11)</f>
        <v/>
      </c>
      <c r="I171" s="304" t="str">
        <f>IF(G171="","",G171*'C.U. tab. riassuntiva'!$H$11)</f>
        <v/>
      </c>
      <c r="J171" s="304" t="str">
        <f>IF(G171="","",G171*'C.U. tab. riassuntiva'!$I$11)</f>
        <v/>
      </c>
      <c r="K171" s="304" t="str">
        <f>IF(G171="","",G171*'C.U. tab. riassuntiva'!$J$11)</f>
        <v/>
      </c>
      <c r="L171" s="3"/>
      <c r="M171" s="304" t="str">
        <f>IF(L171="","",L171*'C.U. tab. riassuntiva'!$G$11)</f>
        <v/>
      </c>
      <c r="N171" s="304" t="str">
        <f>IF(L171="","",L171*'C.U. tab. riassuntiva'!$H$11)</f>
        <v/>
      </c>
      <c r="O171" s="304" t="str">
        <f>IF(L171="","",L171*'C.U. tab. riassuntiva'!$I$11)</f>
        <v/>
      </c>
      <c r="P171" s="304" t="str">
        <f>IF(L171="","",L171*'C.U. tab. riassuntiva'!$J$11)</f>
        <v/>
      </c>
      <c r="Q171" s="3"/>
      <c r="R171" s="304" t="str">
        <f>IF(Q171="","",Q171*'C.U. tab. riassuntiva'!$G$11)</f>
        <v/>
      </c>
      <c r="S171" s="304" t="str">
        <f>IF(Q171="","",Q171*'C.U. tab. riassuntiva'!$H$11)</f>
        <v/>
      </c>
      <c r="T171" s="304" t="str">
        <f>IF(Q171="","",Q171*'C.U. tab. riassuntiva'!$I$11)</f>
        <v/>
      </c>
      <c r="U171" s="304" t="str">
        <f>IF(Q171="","",Q171*'C.U. tab. riassuntiva'!$J$11)</f>
        <v/>
      </c>
    </row>
    <row r="172" spans="1:24">
      <c r="A172" s="299" t="s">
        <v>291</v>
      </c>
      <c r="B172" s="305"/>
      <c r="C172" s="304" t="str">
        <f>IF(B172="","",B172*'C.U. tab. riassuntiva'!$G$12)</f>
        <v/>
      </c>
      <c r="D172" s="304"/>
      <c r="E172" s="304" t="str">
        <f>IF(B172="","",B172*'C.U. tab. riassuntiva'!$I$12)</f>
        <v/>
      </c>
      <c r="F172" s="304"/>
      <c r="G172" s="3"/>
      <c r="H172" s="304" t="str">
        <f>IF(G172="","",G172*'C.U. tab. riassuntiva'!$G$12)</f>
        <v/>
      </c>
      <c r="I172" s="304"/>
      <c r="J172" s="304" t="str">
        <f>IF(G172="","",G172*'C.U. tab. riassuntiva'!$I$12)</f>
        <v/>
      </c>
      <c r="K172" s="304"/>
      <c r="L172" s="3"/>
      <c r="M172" s="304" t="str">
        <f>IF(L172="","",L172*'C.U. tab. riassuntiva'!$G$13)</f>
        <v/>
      </c>
      <c r="N172" s="304"/>
      <c r="O172" s="304" t="str">
        <f>IF(L172="","",L172*'C.U. tab. riassuntiva'!$I$13)</f>
        <v/>
      </c>
      <c r="P172" s="304"/>
      <c r="Q172" s="3"/>
      <c r="R172" s="304" t="str">
        <f>IF(Q172="","",Q172*'C.U. tab. riassuntiva'!$G$13)</f>
        <v/>
      </c>
      <c r="S172" s="304"/>
      <c r="T172" s="304" t="str">
        <f>IF(Q172="","",Q172*'C.U. tab. riassuntiva'!$I$13)</f>
        <v/>
      </c>
      <c r="U172" s="304"/>
    </row>
    <row r="173" spans="1:24">
      <c r="A173" s="299" t="s">
        <v>292</v>
      </c>
      <c r="B173" s="305">
        <v>1</v>
      </c>
      <c r="C173" s="304">
        <f>IF(B173="","",B173*'C.U. tab. riassuntiva'!$G$14)</f>
        <v>3.9715000000000003</v>
      </c>
      <c r="D173" s="304"/>
      <c r="E173" s="304">
        <f>IF(B173="","",B173*'C.U. tab. riassuntiva'!$I$14)</f>
        <v>3.0550000000000002</v>
      </c>
      <c r="F173" s="304"/>
      <c r="G173" s="3">
        <v>1</v>
      </c>
      <c r="H173" s="304">
        <f>IF(G173="","",G173*'C.U. tab. riassuntiva'!$G$14)</f>
        <v>3.9715000000000003</v>
      </c>
      <c r="I173" s="304"/>
      <c r="J173" s="304">
        <f>IF(G173="","",G173*'C.U. tab. riassuntiva'!$I$14)</f>
        <v>3.0550000000000002</v>
      </c>
      <c r="K173" s="304"/>
      <c r="L173" s="3">
        <v>1</v>
      </c>
      <c r="M173" s="304">
        <f>IF(L173="","",L173*'C.U. tab. riassuntiva'!$G$14)</f>
        <v>3.9715000000000003</v>
      </c>
      <c r="N173" s="304"/>
      <c r="O173" s="304">
        <f>IF(L173="","",L173*'C.U. tab. riassuntiva'!$I$14)</f>
        <v>3.0550000000000002</v>
      </c>
      <c r="P173" s="304"/>
      <c r="Q173" s="3">
        <v>1</v>
      </c>
      <c r="R173" s="304">
        <f>IF(Q173="","",Q173*'C.U. tab. riassuntiva'!$G$14)</f>
        <v>3.9715000000000003</v>
      </c>
      <c r="S173" s="304"/>
      <c r="T173" s="304">
        <f>IF(Q173="","",Q173*'C.U. tab. riassuntiva'!$I$14)</f>
        <v>3.0550000000000002</v>
      </c>
      <c r="U173" s="304"/>
    </row>
    <row r="174" spans="1:24">
      <c r="A174" s="299" t="s">
        <v>15</v>
      </c>
      <c r="B174" s="305"/>
      <c r="C174" s="77" t="str">
        <f>IF(B174="","",B174*'C.U. tab. riassuntiva'!$G$16)</f>
        <v/>
      </c>
      <c r="D174" s="77"/>
      <c r="E174" s="77" t="str">
        <f>IF(B174="","",B174*'C.U. tab. riassuntiva'!$I$16)</f>
        <v/>
      </c>
      <c r="F174" s="77"/>
      <c r="G174" s="3">
        <v>0.8</v>
      </c>
      <c r="H174" s="77">
        <f>IF(G174="","",G174*'C.U. tab. riassuntiva'!$G$16)</f>
        <v>5.9488000000000012</v>
      </c>
      <c r="I174" s="77"/>
      <c r="J174" s="77">
        <f>IF(G174="","",G174*'C.U. tab. riassuntiva'!$I$16)</f>
        <v>4.5760000000000005</v>
      </c>
      <c r="K174" s="77"/>
      <c r="L174" s="3">
        <v>0.8</v>
      </c>
      <c r="M174" s="77">
        <f>IF(L174="","",L174*'C.U. tab. riassuntiva'!$G$16)</f>
        <v>5.9488000000000012</v>
      </c>
      <c r="N174" s="77"/>
      <c r="O174" s="77">
        <f>IF(L174="","",L174*'C.U. tab. riassuntiva'!$I$16)</f>
        <v>4.5760000000000005</v>
      </c>
      <c r="P174" s="77"/>
      <c r="Q174" s="3">
        <v>0.8</v>
      </c>
      <c r="R174" s="77">
        <f>IF(Q174="","",Q174*'C.U. tab. riassuntiva'!$G$16)</f>
        <v>5.9488000000000012</v>
      </c>
      <c r="S174" s="77"/>
      <c r="T174" s="77">
        <f>IF(Q174="","",Q174*'C.U. tab. riassuntiva'!$I$16)</f>
        <v>4.5760000000000005</v>
      </c>
      <c r="U174" s="77"/>
    </row>
    <row r="175" spans="1:24">
      <c r="A175" s="299"/>
      <c r="C175" s="284">
        <f>SUM(C169:C174)</f>
        <v>14.139710000000001</v>
      </c>
      <c r="D175" s="284">
        <f>SUM(D169:D174)</f>
        <v>4.9350000000000005</v>
      </c>
      <c r="E175" s="284">
        <f>SUM(E169:E174)</f>
        <v>10.8767</v>
      </c>
      <c r="F175" s="284">
        <f>SUM(F169:F174)</f>
        <v>0.76200000000000001</v>
      </c>
      <c r="G175" s="62"/>
      <c r="H175" s="284">
        <f>SUM(H169:H174)</f>
        <v>24.882390000000001</v>
      </c>
      <c r="I175" s="284">
        <f>SUM(I169:I174)</f>
        <v>15.096</v>
      </c>
      <c r="J175" s="284">
        <f>SUM(J169:J174)</f>
        <v>19.1403</v>
      </c>
      <c r="K175" s="284">
        <f>SUM(K169:K174)</f>
        <v>5.8859999999999992</v>
      </c>
      <c r="L175" s="62"/>
      <c r="M175" s="284">
        <f>SUM(M169:M174)</f>
        <v>24.882390000000001</v>
      </c>
      <c r="N175" s="284">
        <f>SUM(N169:N174)</f>
        <v>15.096</v>
      </c>
      <c r="O175" s="284">
        <f>SUM(O169:O174)</f>
        <v>19.1403</v>
      </c>
      <c r="P175" s="284">
        <f>SUM(P169:P174)</f>
        <v>5.8859999999999992</v>
      </c>
      <c r="Q175" s="62"/>
      <c r="R175" s="284">
        <f>SUM(R169:R174)</f>
        <v>24.882390000000001</v>
      </c>
      <c r="S175" s="284">
        <f>SUM(S169:S174)</f>
        <v>15.096</v>
      </c>
      <c r="T175" s="284">
        <f>SUM(T169:T174)</f>
        <v>19.1403</v>
      </c>
      <c r="U175" s="284">
        <f>SUM(U169:U174)</f>
        <v>5.8859999999999992</v>
      </c>
    </row>
    <row r="176" spans="1:24">
      <c r="C176" s="471">
        <f>C175+D175</f>
        <v>19.074710000000003</v>
      </c>
      <c r="D176" s="472"/>
      <c r="E176" s="471">
        <f>E175+F175</f>
        <v>11.6387</v>
      </c>
      <c r="F176" s="472"/>
      <c r="H176" s="471">
        <f>H175+I175</f>
        <v>39.978390000000005</v>
      </c>
      <c r="I176" s="471"/>
      <c r="J176" s="471">
        <f>J175+K175</f>
        <v>25.026299999999999</v>
      </c>
      <c r="K176" s="471"/>
      <c r="L176" s="314"/>
      <c r="M176" s="471">
        <f>M175+N175</f>
        <v>39.978390000000005</v>
      </c>
      <c r="N176" s="471"/>
      <c r="O176" s="471">
        <f>O175+P175</f>
        <v>25.026299999999999</v>
      </c>
      <c r="P176" s="471"/>
      <c r="Q176" s="314"/>
      <c r="R176" s="471">
        <f>R175+S175</f>
        <v>39.978390000000005</v>
      </c>
      <c r="S176" s="471"/>
      <c r="T176" s="471">
        <f>T175+U175</f>
        <v>25.026299999999999</v>
      </c>
      <c r="U176" s="471"/>
    </row>
    <row r="177" spans="1:21">
      <c r="A177" s="316" t="s">
        <v>351</v>
      </c>
    </row>
    <row r="178" spans="1:21">
      <c r="A178" s="272" t="s">
        <v>287</v>
      </c>
      <c r="B178" s="43"/>
      <c r="C178" s="289" t="s">
        <v>293</v>
      </c>
      <c r="H178" s="289" t="s">
        <v>303</v>
      </c>
      <c r="M178" s="289" t="s">
        <v>331</v>
      </c>
      <c r="R178" s="289" t="s">
        <v>330</v>
      </c>
    </row>
    <row r="179" spans="1:21" ht="18.75">
      <c r="A179" s="303" t="s">
        <v>345</v>
      </c>
      <c r="C179" s="285" t="s">
        <v>304</v>
      </c>
      <c r="D179" s="285" t="s">
        <v>305</v>
      </c>
      <c r="E179" s="285" t="s">
        <v>306</v>
      </c>
      <c r="F179" s="286" t="s">
        <v>307</v>
      </c>
      <c r="G179" s="62"/>
      <c r="H179" s="285" t="s">
        <v>304</v>
      </c>
      <c r="I179" s="285" t="s">
        <v>305</v>
      </c>
      <c r="J179" s="285" t="s">
        <v>306</v>
      </c>
      <c r="K179" s="286" t="s">
        <v>307</v>
      </c>
      <c r="L179" s="62"/>
      <c r="M179" s="285" t="s">
        <v>304</v>
      </c>
      <c r="N179" s="285" t="s">
        <v>305</v>
      </c>
      <c r="O179" s="285" t="s">
        <v>306</v>
      </c>
      <c r="P179" s="286" t="s">
        <v>307</v>
      </c>
      <c r="Q179" s="62"/>
      <c r="R179" s="285" t="s">
        <v>304</v>
      </c>
      <c r="S179" s="285" t="s">
        <v>305</v>
      </c>
      <c r="T179" s="285" t="s">
        <v>306</v>
      </c>
      <c r="U179" s="286" t="s">
        <v>307</v>
      </c>
    </row>
    <row r="180" spans="1:21" ht="15.75">
      <c r="A180" s="303"/>
      <c r="C180" s="285"/>
      <c r="D180" s="285"/>
      <c r="E180" s="285"/>
      <c r="F180" s="286"/>
      <c r="G180" s="62"/>
      <c r="H180" s="285"/>
      <c r="I180" s="285"/>
      <c r="J180" s="285"/>
      <c r="K180" s="286"/>
      <c r="L180" s="62"/>
      <c r="M180" s="285"/>
      <c r="N180" s="285"/>
      <c r="O180" s="285"/>
      <c r="P180" s="286"/>
      <c r="Q180" s="62"/>
      <c r="R180" s="285"/>
      <c r="S180" s="285"/>
      <c r="T180" s="285"/>
      <c r="U180" s="286"/>
    </row>
    <row r="181" spans="1:21">
      <c r="A181" s="299" t="s">
        <v>288</v>
      </c>
      <c r="B181" s="304">
        <f>1*(4.3/2)</f>
        <v>2.15</v>
      </c>
      <c r="C181" s="304">
        <f>IF(B181="","",B181*'C.U. tab. riassuntiva'!$G$7)</f>
        <v>11.76695</v>
      </c>
      <c r="D181" s="304">
        <f>IF(B181="","",B181*'C.U. tab. riassuntiva'!$H$7)</f>
        <v>6.4499999999999993</v>
      </c>
      <c r="E181" s="304">
        <f>IF(B181="","",B181*'C.U. tab. riassuntiva'!$I$7)</f>
        <v>9.051499999999999</v>
      </c>
      <c r="F181" s="304">
        <f>IF(B181="","",B181*'C.U. tab. riassuntiva'!$J$7)</f>
        <v>1.2899999999999998</v>
      </c>
      <c r="G181" s="23">
        <f>1*(4.3/2)</f>
        <v>2.15</v>
      </c>
      <c r="H181" s="304">
        <f>IF(G181="","",G181*'C.U. tab. riassuntiva'!$G$4)</f>
        <v>11.43155</v>
      </c>
      <c r="I181" s="304">
        <f>IF(G181="","",G181*'C.U. tab. riassuntiva'!$H$4)</f>
        <v>10.319999999999999</v>
      </c>
      <c r="J181" s="304">
        <f>IF(G181="","",G181*'C.U. tab. riassuntiva'!$I$4)</f>
        <v>8.7934999999999999</v>
      </c>
      <c r="K181" s="304">
        <f>IF(G181="","",G181*'C.U. tab. riassuntiva'!$J$4)</f>
        <v>3.8699999999999997</v>
      </c>
      <c r="L181" s="23">
        <f>1*(4.3/2)</f>
        <v>2.15</v>
      </c>
      <c r="M181" s="304">
        <f>IF(L181="","",L181*'C.U. tab. riassuntiva'!$G$4)</f>
        <v>11.43155</v>
      </c>
      <c r="N181" s="304">
        <f>IF(L181="","",L181*'C.U. tab. riassuntiva'!$H$4)</f>
        <v>10.319999999999999</v>
      </c>
      <c r="O181" s="304">
        <f>IF(L181="","",L181*'C.U. tab. riassuntiva'!$I$4)</f>
        <v>8.7934999999999999</v>
      </c>
      <c r="P181" s="304">
        <f>IF(L181="","",L181*'C.U. tab. riassuntiva'!$J$4)</f>
        <v>3.8699999999999997</v>
      </c>
      <c r="Q181" s="23">
        <f>1*(4.3/2)</f>
        <v>2.15</v>
      </c>
      <c r="R181" s="304">
        <f>IF(Q181="","",Q181*'C.U. tab. riassuntiva'!$G$4)</f>
        <v>11.43155</v>
      </c>
      <c r="S181" s="304">
        <f>IF(Q181="","",Q181*'C.U. tab. riassuntiva'!$H$4)</f>
        <v>10.319999999999999</v>
      </c>
      <c r="T181" s="304">
        <f>IF(Q181="","",Q181*'C.U. tab. riassuntiva'!$I$4)</f>
        <v>8.7934999999999999</v>
      </c>
      <c r="U181" s="304">
        <f>IF(Q181="","",Q181*'C.U. tab. riassuntiva'!$J$4)</f>
        <v>3.8699999999999997</v>
      </c>
    </row>
    <row r="182" spans="1:21">
      <c r="A182" s="299" t="s">
        <v>289</v>
      </c>
      <c r="B182" s="305">
        <v>1.5</v>
      </c>
      <c r="C182" s="304">
        <f>IF(B182="","",B182*'C.U. tab. riassuntiva'!$G$9)</f>
        <v>3.2175000000000002</v>
      </c>
      <c r="D182" s="304">
        <f>IF(B182="","",B182*'C.U. tab. riassuntiva'!$H$9)</f>
        <v>1.125</v>
      </c>
      <c r="E182" s="304">
        <f>IF(B182="","",B182*'C.U. tab. riassuntiva'!$I$9)</f>
        <v>2.4749999999999996</v>
      </c>
      <c r="F182" s="304">
        <f>IF(B182="","",B182*'C.U. tab. riassuntiva'!$J$9)</f>
        <v>0</v>
      </c>
      <c r="G182" s="3">
        <v>1.5</v>
      </c>
      <c r="H182" s="304">
        <f>IF(G182="","",G182*'C.U. tab. riassuntiva'!$G$10)</f>
        <v>8.2095000000000002</v>
      </c>
      <c r="I182" s="304">
        <f>IF(G182="","",G182*'C.U. tab. riassuntiva'!$H$10)</f>
        <v>9</v>
      </c>
      <c r="J182" s="304">
        <f>IF(G182="","",G182*'C.U. tab. riassuntiva'!$I$10)</f>
        <v>6.3149999999999995</v>
      </c>
      <c r="K182" s="304">
        <f>IF(G182="","",G182*'C.U. tab. riassuntiva'!$J$10)</f>
        <v>3.5999999999999996</v>
      </c>
      <c r="L182" s="3">
        <v>1.5</v>
      </c>
      <c r="M182" s="304">
        <f>IF(L182="","",L182*'C.U. tab. riassuntiva'!$G$10)</f>
        <v>8.2095000000000002</v>
      </c>
      <c r="N182" s="304">
        <f>IF(L182="","",L182*'C.U. tab. riassuntiva'!$H$10)</f>
        <v>9</v>
      </c>
      <c r="O182" s="304">
        <f>IF(L182="","",L182*'C.U. tab. riassuntiva'!$I$10)</f>
        <v>6.3149999999999995</v>
      </c>
      <c r="P182" s="304">
        <f>IF(L182="","",L182*'C.U. tab. riassuntiva'!$J$10)</f>
        <v>3.5999999999999996</v>
      </c>
      <c r="Q182" s="3">
        <v>1.5</v>
      </c>
      <c r="R182" s="304">
        <f>IF(Q182="","",Q182*'C.U. tab. riassuntiva'!$G$10)</f>
        <v>8.2095000000000002</v>
      </c>
      <c r="S182" s="304">
        <f>IF(Q182="","",Q182*'C.U. tab. riassuntiva'!$H$10)</f>
        <v>9</v>
      </c>
      <c r="T182" s="304">
        <f>IF(Q182="","",Q182*'C.U. tab. riassuntiva'!$I$10)</f>
        <v>6.3149999999999995</v>
      </c>
      <c r="U182" s="304">
        <f>IF(Q182="","",Q182*'C.U. tab. riassuntiva'!$J$10)</f>
        <v>3.5999999999999996</v>
      </c>
    </row>
    <row r="183" spans="1:21">
      <c r="A183" s="299" t="s">
        <v>290</v>
      </c>
      <c r="B183" s="305"/>
      <c r="C183" s="304" t="str">
        <f>IF(B183="","",B183*'C.U. tab. riassuntiva'!$G$11)</f>
        <v/>
      </c>
      <c r="D183" s="304" t="str">
        <f>IF(B183="","",B183*'C.U. tab. riassuntiva'!$H$11)</f>
        <v/>
      </c>
      <c r="E183" s="304" t="str">
        <f>IF(B183="","",B183*'C.U. tab. riassuntiva'!$I$11)</f>
        <v/>
      </c>
      <c r="F183" s="304" t="str">
        <f>IF(B183="","",B183*'C.U. tab. riassuntiva'!$J$11)</f>
        <v/>
      </c>
      <c r="G183" s="3"/>
      <c r="H183" s="304" t="str">
        <f>IF(G183="","",G183*'C.U. tab. riassuntiva'!$G$11)</f>
        <v/>
      </c>
      <c r="I183" s="304" t="str">
        <f>IF(G183="","",G183*'C.U. tab. riassuntiva'!$H$11)</f>
        <v/>
      </c>
      <c r="J183" s="304" t="str">
        <f>IF(G183="","",G183*'C.U. tab. riassuntiva'!$I$11)</f>
        <v/>
      </c>
      <c r="K183" s="304" t="str">
        <f>IF(G183="","",G183*'C.U. tab. riassuntiva'!$J$11)</f>
        <v/>
      </c>
      <c r="L183" s="3"/>
      <c r="M183" s="304" t="str">
        <f>IF(L183="","",L183*'C.U. tab. riassuntiva'!$G$11)</f>
        <v/>
      </c>
      <c r="N183" s="304" t="str">
        <f>IF(L183="","",L183*'C.U. tab. riassuntiva'!$H$11)</f>
        <v/>
      </c>
      <c r="O183" s="304" t="str">
        <f>IF(L183="","",L183*'C.U. tab. riassuntiva'!$I$11)</f>
        <v/>
      </c>
      <c r="P183" s="304" t="str">
        <f>IF(L183="","",L183*'C.U. tab. riassuntiva'!$J$11)</f>
        <v/>
      </c>
      <c r="Q183" s="3"/>
      <c r="R183" s="304" t="str">
        <f>IF(Q183="","",Q183*'C.U. tab. riassuntiva'!$G$11)</f>
        <v/>
      </c>
      <c r="S183" s="304" t="str">
        <f>IF(Q183="","",Q183*'C.U. tab. riassuntiva'!$H$11)</f>
        <v/>
      </c>
      <c r="T183" s="304" t="str">
        <f>IF(Q183="","",Q183*'C.U. tab. riassuntiva'!$I$11)</f>
        <v/>
      </c>
      <c r="U183" s="304" t="str">
        <f>IF(Q183="","",Q183*'C.U. tab. riassuntiva'!$J$11)</f>
        <v/>
      </c>
    </row>
    <row r="184" spans="1:21">
      <c r="A184" s="299" t="s">
        <v>291</v>
      </c>
      <c r="B184" s="305">
        <v>1</v>
      </c>
      <c r="C184" s="304">
        <f>IF(B184="","",B184*'C.U. tab. riassuntiva'!$G$12)</f>
        <v>3.8415000000000004</v>
      </c>
      <c r="D184" s="304"/>
      <c r="E184" s="304">
        <f>IF(B184="","",B184*'C.U. tab. riassuntiva'!$I$12)</f>
        <v>2.9550000000000001</v>
      </c>
      <c r="F184" s="304"/>
      <c r="G184" s="3">
        <v>1</v>
      </c>
      <c r="H184" s="304">
        <f>IF(G184="","",G184*'C.U. tab. riassuntiva'!$G$12)</f>
        <v>3.8415000000000004</v>
      </c>
      <c r="I184" s="304"/>
      <c r="J184" s="304">
        <f>IF(G184="","",G184*'C.U. tab. riassuntiva'!$I$12)</f>
        <v>2.9550000000000001</v>
      </c>
      <c r="K184" s="304"/>
      <c r="L184" s="3">
        <v>1</v>
      </c>
      <c r="M184" s="304">
        <f>IF(L184="","",L184*'C.U. tab. riassuntiva'!$G$13)</f>
        <v>4.8165000000000004</v>
      </c>
      <c r="N184" s="304"/>
      <c r="O184" s="304">
        <f>IF(L184="","",L184*'C.U. tab. riassuntiva'!$I$13)</f>
        <v>3.7050000000000001</v>
      </c>
      <c r="P184" s="304"/>
      <c r="Q184" s="3">
        <v>1</v>
      </c>
      <c r="R184" s="304">
        <f>IF(Q184="","",Q184*'C.U. tab. riassuntiva'!$G$13)</f>
        <v>4.8165000000000004</v>
      </c>
      <c r="S184" s="304"/>
      <c r="T184" s="304">
        <f>IF(Q184="","",Q184*'C.U. tab. riassuntiva'!$I$13)</f>
        <v>3.7050000000000001</v>
      </c>
      <c r="U184" s="304"/>
    </row>
    <row r="185" spans="1:21">
      <c r="A185" s="299" t="s">
        <v>292</v>
      </c>
      <c r="C185" s="304" t="str">
        <f>IF(B185="","",B185*'C.U. tab. riassuntiva'!$G$14)</f>
        <v/>
      </c>
      <c r="D185" s="304"/>
      <c r="E185" s="304" t="str">
        <f>IF(B185="","",B185*'C.U. tab. riassuntiva'!$I$14)</f>
        <v/>
      </c>
      <c r="F185" s="304"/>
      <c r="G185" s="62"/>
      <c r="H185" s="304" t="str">
        <f>IF(G185="","",G185*'C.U. tab. riassuntiva'!$G$14)</f>
        <v/>
      </c>
      <c r="I185" s="304"/>
      <c r="J185" s="304" t="str">
        <f>IF(G185="","",G185*'C.U. tab. riassuntiva'!$I$14)</f>
        <v/>
      </c>
      <c r="K185" s="304"/>
      <c r="L185" s="62"/>
      <c r="M185" s="304" t="str">
        <f>IF(L185="","",L185*'C.U. tab. riassuntiva'!$G$14)</f>
        <v/>
      </c>
      <c r="N185" s="304"/>
      <c r="O185" s="304" t="str">
        <f>IF(L185="","",L185*'C.U. tab. riassuntiva'!$I$14)</f>
        <v/>
      </c>
      <c r="P185" s="304"/>
      <c r="Q185" s="62"/>
      <c r="R185" s="304" t="str">
        <f>IF(Q185="","",Q185*'C.U. tab. riassuntiva'!$G$14)</f>
        <v/>
      </c>
      <c r="S185" s="304"/>
      <c r="T185" s="304" t="str">
        <f>IF(Q185="","",Q185*'C.U. tab. riassuntiva'!$I$14)</f>
        <v/>
      </c>
      <c r="U185" s="304"/>
    </row>
    <row r="186" spans="1:21">
      <c r="A186" s="299" t="s">
        <v>15</v>
      </c>
      <c r="B186" s="305"/>
      <c r="C186" s="77" t="str">
        <f>IF(B186="","",B186*'C.U. tab. riassuntiva'!$G$16)</f>
        <v/>
      </c>
      <c r="D186" s="77"/>
      <c r="E186" s="77" t="str">
        <f>IF(B186="","",B186*'C.U. tab. riassuntiva'!$I$16)</f>
        <v/>
      </c>
      <c r="F186" s="77"/>
      <c r="G186" s="3">
        <v>0.8</v>
      </c>
      <c r="H186" s="77">
        <f>IF(G186="","",G186*'C.U. tab. riassuntiva'!$G$16)</f>
        <v>5.9488000000000012</v>
      </c>
      <c r="I186" s="77"/>
      <c r="J186" s="77">
        <f>IF(G186="","",G186*'C.U. tab. riassuntiva'!$I$16)</f>
        <v>4.5760000000000005</v>
      </c>
      <c r="K186" s="77"/>
      <c r="L186" s="3">
        <v>0.8</v>
      </c>
      <c r="M186" s="77">
        <f>IF(L186="","",L186*'C.U. tab. riassuntiva'!$G$16)</f>
        <v>5.9488000000000012</v>
      </c>
      <c r="N186" s="77"/>
      <c r="O186" s="77">
        <f>IF(L186="","",L186*'C.U. tab. riassuntiva'!$I$16)</f>
        <v>4.5760000000000005</v>
      </c>
      <c r="P186" s="77"/>
      <c r="Q186" s="3">
        <v>0.9</v>
      </c>
      <c r="R186" s="77">
        <f>IF(Q186="","",Q186*'C.U. tab. riassuntiva'!$G$16)</f>
        <v>6.692400000000001</v>
      </c>
      <c r="S186" s="77"/>
      <c r="T186" s="77">
        <f>IF(Q186="","",Q186*'C.U. tab. riassuntiva'!$I$16)</f>
        <v>5.1480000000000006</v>
      </c>
      <c r="U186" s="77"/>
    </row>
    <row r="187" spans="1:21">
      <c r="A187" s="299"/>
      <c r="C187" s="284">
        <f>SUM(C181:C186)</f>
        <v>18.825949999999999</v>
      </c>
      <c r="D187" s="284">
        <f>SUM(D181:D186)</f>
        <v>7.5749999999999993</v>
      </c>
      <c r="E187" s="284">
        <f>SUM(E181:E186)</f>
        <v>14.481499999999999</v>
      </c>
      <c r="F187" s="284">
        <f>SUM(F181:F186)</f>
        <v>1.2899999999999998</v>
      </c>
      <c r="G187" s="62"/>
      <c r="H187" s="284">
        <f>SUM(H181:H186)</f>
        <v>29.431350000000002</v>
      </c>
      <c r="I187" s="284">
        <f>SUM(I181:I186)</f>
        <v>19.32</v>
      </c>
      <c r="J187" s="284">
        <f>SUM(J181:J186)</f>
        <v>22.639499999999998</v>
      </c>
      <c r="K187" s="284">
        <f>SUM(K181:K186)</f>
        <v>7.4699999999999989</v>
      </c>
      <c r="L187" s="62"/>
      <c r="M187" s="284">
        <f>SUM(M181:M186)</f>
        <v>30.406350000000003</v>
      </c>
      <c r="N187" s="284">
        <f>SUM(N181:N186)</f>
        <v>19.32</v>
      </c>
      <c r="O187" s="284">
        <f>SUM(O181:O186)</f>
        <v>23.389499999999998</v>
      </c>
      <c r="P187" s="284">
        <f>SUM(P181:P186)</f>
        <v>7.4699999999999989</v>
      </c>
      <c r="Q187" s="62"/>
      <c r="R187" s="284">
        <f>SUM(R181:R186)</f>
        <v>31.149950000000004</v>
      </c>
      <c r="S187" s="284">
        <f>SUM(S181:S186)</f>
        <v>19.32</v>
      </c>
      <c r="T187" s="284">
        <f>SUM(T181:T186)</f>
        <v>23.961499999999997</v>
      </c>
      <c r="U187" s="284">
        <f>SUM(U181:U186)</f>
        <v>7.4699999999999989</v>
      </c>
    </row>
    <row r="188" spans="1:21">
      <c r="C188" s="471">
        <f>C187+D187</f>
        <v>26.400949999999998</v>
      </c>
      <c r="D188" s="472"/>
      <c r="E188" s="471">
        <f>E187+F187</f>
        <v>15.771499999999998</v>
      </c>
      <c r="F188" s="472"/>
      <c r="H188" s="471">
        <f>H187+I187</f>
        <v>48.751350000000002</v>
      </c>
      <c r="I188" s="471"/>
      <c r="J188" s="471">
        <f>J187+K187</f>
        <v>30.109499999999997</v>
      </c>
      <c r="K188" s="471"/>
      <c r="L188" s="314"/>
      <c r="M188" s="471">
        <f>M187+N187</f>
        <v>49.726350000000004</v>
      </c>
      <c r="N188" s="471"/>
      <c r="O188" s="471">
        <f>O187+P187</f>
        <v>30.859499999999997</v>
      </c>
      <c r="P188" s="471"/>
      <c r="Q188" s="314"/>
      <c r="R188" s="471">
        <f>R187+S187</f>
        <v>50.469950000000004</v>
      </c>
      <c r="S188" s="471"/>
      <c r="T188" s="471">
        <f>T187+U187</f>
        <v>31.431499999999996</v>
      </c>
      <c r="U188" s="471"/>
    </row>
    <row r="191" spans="1:21">
      <c r="A191" s="272" t="s">
        <v>287</v>
      </c>
      <c r="B191" s="43"/>
      <c r="C191" s="289" t="s">
        <v>293</v>
      </c>
      <c r="H191" s="289" t="s">
        <v>303</v>
      </c>
      <c r="M191" s="289" t="s">
        <v>331</v>
      </c>
      <c r="R191" s="289" t="s">
        <v>330</v>
      </c>
    </row>
    <row r="192" spans="1:21" ht="18.75">
      <c r="A192" s="303" t="s">
        <v>346</v>
      </c>
      <c r="C192" s="285" t="s">
        <v>304</v>
      </c>
      <c r="D192" s="285" t="s">
        <v>305</v>
      </c>
      <c r="E192" s="285" t="s">
        <v>306</v>
      </c>
      <c r="F192" s="286" t="s">
        <v>307</v>
      </c>
      <c r="G192" s="62"/>
      <c r="H192" s="285" t="s">
        <v>304</v>
      </c>
      <c r="I192" s="285" t="s">
        <v>305</v>
      </c>
      <c r="J192" s="285" t="s">
        <v>306</v>
      </c>
      <c r="K192" s="286" t="s">
        <v>307</v>
      </c>
      <c r="L192" s="62"/>
      <c r="M192" s="285" t="s">
        <v>304</v>
      </c>
      <c r="N192" s="285" t="s">
        <v>305</v>
      </c>
      <c r="O192" s="285" t="s">
        <v>306</v>
      </c>
      <c r="P192" s="286" t="s">
        <v>307</v>
      </c>
      <c r="Q192" s="62"/>
      <c r="R192" s="285" t="s">
        <v>304</v>
      </c>
      <c r="S192" s="285" t="s">
        <v>305</v>
      </c>
      <c r="T192" s="285" t="s">
        <v>306</v>
      </c>
      <c r="U192" s="286" t="s">
        <v>307</v>
      </c>
    </row>
    <row r="193" spans="1:21" ht="15.75">
      <c r="A193" s="303"/>
      <c r="C193" s="285"/>
      <c r="D193" s="285"/>
      <c r="E193" s="285"/>
      <c r="F193" s="286"/>
      <c r="G193" s="62"/>
      <c r="H193" s="285"/>
      <c r="I193" s="285"/>
      <c r="J193" s="285"/>
      <c r="K193" s="286"/>
      <c r="L193" s="62"/>
      <c r="M193" s="285"/>
      <c r="N193" s="285"/>
      <c r="O193" s="285"/>
      <c r="P193" s="286"/>
      <c r="Q193" s="62"/>
      <c r="R193" s="285"/>
      <c r="S193" s="285"/>
      <c r="T193" s="285"/>
      <c r="U193" s="286"/>
    </row>
    <row r="194" spans="1:21">
      <c r="A194" s="299" t="s">
        <v>288</v>
      </c>
      <c r="B194" s="304">
        <f>1*0.8</f>
        <v>0.8</v>
      </c>
      <c r="C194" s="304">
        <f>IF(B194="","",B194*'C.U. tab. riassuntiva'!$G$7)</f>
        <v>4.3784000000000001</v>
      </c>
      <c r="D194" s="304">
        <f>IF(B194="","",B194*'C.U. tab. riassuntiva'!$H$7)</f>
        <v>2.4000000000000004</v>
      </c>
      <c r="E194" s="304">
        <f>IF(B194="","",B194*'C.U. tab. riassuntiva'!$I$7)</f>
        <v>3.3680000000000003</v>
      </c>
      <c r="F194" s="304">
        <f>IF(B194="","",B194*'C.U. tab. riassuntiva'!$J$7)</f>
        <v>0.48</v>
      </c>
      <c r="G194" s="23">
        <v>0.8</v>
      </c>
      <c r="H194" s="304">
        <f>IF(G194="","",G194*'C.U. tab. riassuntiva'!$G$4)</f>
        <v>4.2536000000000005</v>
      </c>
      <c r="I194" s="304">
        <f>IF(G194="","",G194*'C.U. tab. riassuntiva'!$H$4)</f>
        <v>3.84</v>
      </c>
      <c r="J194" s="304">
        <f>IF(G194="","",G194*'C.U. tab. riassuntiva'!$I$4)</f>
        <v>3.2720000000000002</v>
      </c>
      <c r="K194" s="304">
        <f>IF(G194="","",G194*'C.U. tab. riassuntiva'!$J$4)</f>
        <v>1.44</v>
      </c>
      <c r="L194" s="23">
        <v>0.8</v>
      </c>
      <c r="M194" s="304">
        <f>IF(L194="","",L194*'C.U. tab. riassuntiva'!$G$4)</f>
        <v>4.2536000000000005</v>
      </c>
      <c r="N194" s="304">
        <f>IF(L194="","",L194*'C.U. tab. riassuntiva'!$H$4)</f>
        <v>3.84</v>
      </c>
      <c r="O194" s="304">
        <f>IF(L194="","",L194*'C.U. tab. riassuntiva'!$I$4)</f>
        <v>3.2720000000000002</v>
      </c>
      <c r="P194" s="304">
        <f>IF(L194="","",L194*'C.U. tab. riassuntiva'!$J$4)</f>
        <v>1.44</v>
      </c>
      <c r="Q194" s="23">
        <v>0.8</v>
      </c>
      <c r="R194" s="304">
        <f>IF(Q194="","",Q194*'C.U. tab. riassuntiva'!$G$4)</f>
        <v>4.2536000000000005</v>
      </c>
      <c r="S194" s="304">
        <f>IF(Q194="","",Q194*'C.U. tab. riassuntiva'!$H$4)</f>
        <v>3.84</v>
      </c>
      <c r="T194" s="304">
        <f>IF(Q194="","",Q194*'C.U. tab. riassuntiva'!$I$4)</f>
        <v>3.2720000000000002</v>
      </c>
      <c r="U194" s="304">
        <f>IF(Q194="","",Q194*'C.U. tab. riassuntiva'!$J$4)</f>
        <v>1.44</v>
      </c>
    </row>
    <row r="195" spans="1:21">
      <c r="A195" s="299" t="s">
        <v>289</v>
      </c>
      <c r="B195" s="305">
        <v>3.5</v>
      </c>
      <c r="C195" s="304">
        <f>IF(B195="","",B195*'C.U. tab. riassuntiva'!$G$9)</f>
        <v>7.5075000000000003</v>
      </c>
      <c r="D195" s="304">
        <f>IF(B195="","",B195*'C.U. tab. riassuntiva'!$H$9)</f>
        <v>2.625</v>
      </c>
      <c r="E195" s="304">
        <f>IF(B195="","",B195*'C.U. tab. riassuntiva'!$I$9)</f>
        <v>5.7749999999999995</v>
      </c>
      <c r="F195" s="304">
        <f>IF(B195="","",B195*'C.U. tab. riassuntiva'!$J$9)</f>
        <v>0</v>
      </c>
      <c r="G195" s="3">
        <v>3.5</v>
      </c>
      <c r="H195" s="304">
        <f>IF(G195="","",G195*'C.U. tab. riassuntiva'!$G$10)</f>
        <v>19.1555</v>
      </c>
      <c r="I195" s="304">
        <f>IF(G195="","",G195*'C.U. tab. riassuntiva'!$H$10)</f>
        <v>21</v>
      </c>
      <c r="J195" s="304">
        <f>IF(G195="","",G195*'C.U. tab. riassuntiva'!$I$10)</f>
        <v>14.734999999999999</v>
      </c>
      <c r="K195" s="304">
        <f>IF(G195="","",G195*'C.U. tab. riassuntiva'!$J$10)</f>
        <v>8.4</v>
      </c>
      <c r="L195" s="3">
        <v>3.5</v>
      </c>
      <c r="M195" s="304">
        <f>IF(L195="","",L195*'C.U. tab. riassuntiva'!$G$10)</f>
        <v>19.1555</v>
      </c>
      <c r="N195" s="304">
        <f>IF(L195="","",L195*'C.U. tab. riassuntiva'!$H$10)</f>
        <v>21</v>
      </c>
      <c r="O195" s="304">
        <f>IF(L195="","",L195*'C.U. tab. riassuntiva'!$I$10)</f>
        <v>14.734999999999999</v>
      </c>
      <c r="P195" s="304">
        <f>IF(L195="","",L195*'C.U. tab. riassuntiva'!$J$10)</f>
        <v>8.4</v>
      </c>
      <c r="Q195" s="3">
        <v>3.5</v>
      </c>
      <c r="R195" s="304">
        <f>IF(Q195="","",Q195*'C.U. tab. riassuntiva'!$G$10)</f>
        <v>19.1555</v>
      </c>
      <c r="S195" s="304">
        <f>IF(Q195="","",Q195*'C.U. tab. riassuntiva'!$H$10)</f>
        <v>21</v>
      </c>
      <c r="T195" s="304">
        <f>IF(Q195="","",Q195*'C.U. tab. riassuntiva'!$I$10)</f>
        <v>14.734999999999999</v>
      </c>
      <c r="U195" s="304">
        <f>IF(Q195="","",Q195*'C.U. tab. riassuntiva'!$J$10)</f>
        <v>8.4</v>
      </c>
    </row>
    <row r="196" spans="1:21">
      <c r="A196" s="299" t="s">
        <v>290</v>
      </c>
      <c r="B196" s="305"/>
      <c r="C196" s="304" t="str">
        <f>IF(B196="","",B196*'C.U. tab. riassuntiva'!$G$11)</f>
        <v/>
      </c>
      <c r="D196" s="304" t="str">
        <f>IF(B196="","",B196*'C.U. tab. riassuntiva'!$H$11)</f>
        <v/>
      </c>
      <c r="E196" s="304" t="str">
        <f>IF(B196="","",B196*'C.U. tab. riassuntiva'!$I$11)</f>
        <v/>
      </c>
      <c r="F196" s="304" t="str">
        <f>IF(B196="","",B196*'C.U. tab. riassuntiva'!$J$11)</f>
        <v/>
      </c>
      <c r="G196" s="3"/>
      <c r="H196" s="304" t="str">
        <f>IF(G196="","",G196*'C.U. tab. riassuntiva'!$G$11)</f>
        <v/>
      </c>
      <c r="I196" s="304" t="str">
        <f>IF(G196="","",G196*'C.U. tab. riassuntiva'!$H$11)</f>
        <v/>
      </c>
      <c r="J196" s="304" t="str">
        <f>IF(G196="","",G196*'C.U. tab. riassuntiva'!$I$11)</f>
        <v/>
      </c>
      <c r="K196" s="304" t="str">
        <f>IF(G196="","",G196*'C.U. tab. riassuntiva'!$J$11)</f>
        <v/>
      </c>
      <c r="L196" s="3"/>
      <c r="M196" s="304" t="str">
        <f>IF(L196="","",L196*'C.U. tab. riassuntiva'!$G$11)</f>
        <v/>
      </c>
      <c r="N196" s="304" t="str">
        <f>IF(L196="","",L196*'C.U. tab. riassuntiva'!$H$11)</f>
        <v/>
      </c>
      <c r="O196" s="304" t="str">
        <f>IF(L196="","",L196*'C.U. tab. riassuntiva'!$I$11)</f>
        <v/>
      </c>
      <c r="P196" s="304" t="str">
        <f>IF(L196="","",L196*'C.U. tab. riassuntiva'!$J$11)</f>
        <v/>
      </c>
      <c r="Q196" s="3"/>
      <c r="R196" s="304" t="str">
        <f>IF(Q196="","",Q196*'C.U. tab. riassuntiva'!$G$11)</f>
        <v/>
      </c>
      <c r="S196" s="304" t="str">
        <f>IF(Q196="","",Q196*'C.U. tab. riassuntiva'!$H$11)</f>
        <v/>
      </c>
      <c r="T196" s="304" t="str">
        <f>IF(Q196="","",Q196*'C.U. tab. riassuntiva'!$I$11)</f>
        <v/>
      </c>
      <c r="U196" s="304" t="str">
        <f>IF(Q196="","",Q196*'C.U. tab. riassuntiva'!$J$11)</f>
        <v/>
      </c>
    </row>
    <row r="197" spans="1:21">
      <c r="A197" s="299" t="s">
        <v>291</v>
      </c>
      <c r="B197" s="305"/>
      <c r="C197" s="304" t="str">
        <f>IF(B197="","",B197*'C.U. tab. riassuntiva'!$G$12)</f>
        <v/>
      </c>
      <c r="D197" s="304"/>
      <c r="E197" s="304" t="str">
        <f>IF(B197="","",B197*'C.U. tab. riassuntiva'!$I$12)</f>
        <v/>
      </c>
      <c r="F197" s="304"/>
      <c r="G197" s="3"/>
      <c r="H197" s="304" t="str">
        <f>IF(G197="","",G197*'C.U. tab. riassuntiva'!$G$12)</f>
        <v/>
      </c>
      <c r="I197" s="304"/>
      <c r="J197" s="304" t="str">
        <f>IF(G197="","",G197*'C.U. tab. riassuntiva'!$I$12)</f>
        <v/>
      </c>
      <c r="K197" s="304"/>
      <c r="L197" s="3"/>
      <c r="M197" s="304" t="str">
        <f>IF(L197="","",L197*'C.U. tab. riassuntiva'!$G$13)</f>
        <v/>
      </c>
      <c r="N197" s="304"/>
      <c r="O197" s="304" t="str">
        <f>IF(L197="","",L197*'C.U. tab. riassuntiva'!$I$13)</f>
        <v/>
      </c>
      <c r="P197" s="304"/>
      <c r="Q197" s="3"/>
      <c r="R197" s="304" t="str">
        <f>IF(Q197="","",Q197*'C.U. tab. riassuntiva'!$G$13)</f>
        <v/>
      </c>
      <c r="S197" s="304"/>
      <c r="T197" s="304" t="str">
        <f>IF(Q197="","",Q197*'C.U. tab. riassuntiva'!$I$13)</f>
        <v/>
      </c>
      <c r="U197" s="304"/>
    </row>
    <row r="198" spans="1:21">
      <c r="A198" s="299" t="s">
        <v>292</v>
      </c>
      <c r="B198" s="305">
        <v>1</v>
      </c>
      <c r="C198" s="304">
        <f>IF(B198="","",B198*'C.U. tab. riassuntiva'!$G$14)</f>
        <v>3.9715000000000003</v>
      </c>
      <c r="D198" s="304"/>
      <c r="E198" s="304">
        <f>IF(B198="","",B198*'C.U. tab. riassuntiva'!$I$14)</f>
        <v>3.0550000000000002</v>
      </c>
      <c r="F198" s="304"/>
      <c r="G198" s="3">
        <v>1</v>
      </c>
      <c r="H198" s="304">
        <f>IF(G198="","",G198*'C.U. tab. riassuntiva'!$G$14)</f>
        <v>3.9715000000000003</v>
      </c>
      <c r="I198" s="304"/>
      <c r="J198" s="304">
        <f>IF(G198="","",G198*'C.U. tab. riassuntiva'!$I$14)</f>
        <v>3.0550000000000002</v>
      </c>
      <c r="K198" s="304"/>
      <c r="L198" s="3">
        <v>1</v>
      </c>
      <c r="M198" s="304">
        <f>IF(L198="","",L198*'C.U. tab. riassuntiva'!$G$14)</f>
        <v>3.9715000000000003</v>
      </c>
      <c r="N198" s="304"/>
      <c r="O198" s="304">
        <f>IF(L198="","",L198*'C.U. tab. riassuntiva'!$I$14)</f>
        <v>3.0550000000000002</v>
      </c>
      <c r="P198" s="304"/>
      <c r="Q198" s="3">
        <v>1</v>
      </c>
      <c r="R198" s="304">
        <f>IF(Q198="","",Q198*'C.U. tab. riassuntiva'!$G$14)</f>
        <v>3.9715000000000003</v>
      </c>
      <c r="S198" s="304"/>
      <c r="T198" s="304">
        <f>IF(Q198="","",Q198*'C.U. tab. riassuntiva'!$I$14)</f>
        <v>3.0550000000000002</v>
      </c>
      <c r="U198" s="304"/>
    </row>
    <row r="199" spans="1:21">
      <c r="A199" s="299" t="s">
        <v>15</v>
      </c>
      <c r="B199" s="305"/>
      <c r="C199" s="77" t="str">
        <f>IF(B199="","",B199*'C.U. tab. riassuntiva'!$G$16)</f>
        <v/>
      </c>
      <c r="D199" s="77"/>
      <c r="E199" s="77" t="str">
        <f>IF(B199="","",B199*'C.U. tab. riassuntiva'!$I$16)</f>
        <v/>
      </c>
      <c r="F199" s="77"/>
      <c r="G199" s="3"/>
      <c r="H199" s="77" t="str">
        <f>IF(G199="","",G199*'C.U. tab. riassuntiva'!$G$16)</f>
        <v/>
      </c>
      <c r="I199" s="77"/>
      <c r="J199" s="77" t="str">
        <f>IF(G199="","",G199*'C.U. tab. riassuntiva'!$I$16)</f>
        <v/>
      </c>
      <c r="K199" s="77"/>
      <c r="L199" s="3"/>
      <c r="M199" s="77" t="str">
        <f>IF(L199="","",L199*'C.U. tab. riassuntiva'!$G$16)</f>
        <v/>
      </c>
      <c r="N199" s="77"/>
      <c r="O199" s="77" t="str">
        <f>IF(L199="","",L199*'C.U. tab. riassuntiva'!$I$16)</f>
        <v/>
      </c>
      <c r="P199" s="77"/>
      <c r="Q199" s="3"/>
      <c r="R199" s="77" t="str">
        <f>IF(Q199="","",Q199*'C.U. tab. riassuntiva'!$G$16)</f>
        <v/>
      </c>
      <c r="S199" s="77"/>
      <c r="T199" s="77" t="str">
        <f>IF(Q199="","",Q199*'C.U. tab. riassuntiva'!$I$16)</f>
        <v/>
      </c>
      <c r="U199" s="77"/>
    </row>
    <row r="200" spans="1:21">
      <c r="A200" s="299"/>
      <c r="C200" s="284">
        <f>SUM(C194:C199)</f>
        <v>15.8574</v>
      </c>
      <c r="D200" s="284">
        <f>SUM(D194:D199)</f>
        <v>5.0250000000000004</v>
      </c>
      <c r="E200" s="284">
        <f>SUM(E194:E199)</f>
        <v>12.198</v>
      </c>
      <c r="F200" s="284">
        <f>SUM(F194:F199)</f>
        <v>0.48</v>
      </c>
      <c r="G200" s="62"/>
      <c r="H200" s="284">
        <f>SUM(H194:H199)</f>
        <v>27.380600000000001</v>
      </c>
      <c r="I200" s="284">
        <f>SUM(I194:I199)</f>
        <v>24.84</v>
      </c>
      <c r="J200" s="284">
        <f>SUM(J194:J199)</f>
        <v>21.061999999999998</v>
      </c>
      <c r="K200" s="284">
        <f>SUM(K194:K199)</f>
        <v>9.84</v>
      </c>
      <c r="L200" s="62"/>
      <c r="M200" s="284">
        <f>SUM(M194:M199)</f>
        <v>27.380600000000001</v>
      </c>
      <c r="N200" s="284">
        <f>SUM(N194:N199)</f>
        <v>24.84</v>
      </c>
      <c r="O200" s="284">
        <f>SUM(O194:O199)</f>
        <v>21.061999999999998</v>
      </c>
      <c r="P200" s="284">
        <f>SUM(P194:P199)</f>
        <v>9.84</v>
      </c>
      <c r="Q200" s="62"/>
      <c r="R200" s="284">
        <f>SUM(R194:R199)</f>
        <v>27.380600000000001</v>
      </c>
      <c r="S200" s="284">
        <f>SUM(S194:S199)</f>
        <v>24.84</v>
      </c>
      <c r="T200" s="284">
        <f>SUM(T194:T199)</f>
        <v>21.061999999999998</v>
      </c>
      <c r="U200" s="284">
        <f>SUM(U194:U199)</f>
        <v>9.84</v>
      </c>
    </row>
    <row r="201" spans="1:21">
      <c r="C201" s="471">
        <f>C200+D200</f>
        <v>20.882400000000001</v>
      </c>
      <c r="D201" s="472"/>
      <c r="E201" s="471">
        <f>E200+F200</f>
        <v>12.678000000000001</v>
      </c>
      <c r="F201" s="472"/>
      <c r="H201" s="471">
        <f>H200+I200</f>
        <v>52.220600000000005</v>
      </c>
      <c r="I201" s="471"/>
      <c r="J201" s="471">
        <f>J200+K200</f>
        <v>30.901999999999997</v>
      </c>
      <c r="K201" s="471"/>
      <c r="L201" s="314"/>
      <c r="M201" s="471">
        <f>M200+N200</f>
        <v>52.220600000000005</v>
      </c>
      <c r="N201" s="471"/>
      <c r="O201" s="471">
        <f>O200+P200</f>
        <v>30.901999999999997</v>
      </c>
      <c r="P201" s="471"/>
      <c r="Q201" s="314"/>
      <c r="R201" s="471">
        <f>R200+S200</f>
        <v>52.220600000000005</v>
      </c>
      <c r="S201" s="471"/>
      <c r="T201" s="471">
        <f>T200+U200</f>
        <v>30.901999999999997</v>
      </c>
      <c r="U201" s="471"/>
    </row>
    <row r="203" spans="1:21">
      <c r="A203" s="272" t="s">
        <v>287</v>
      </c>
      <c r="B203" s="43"/>
      <c r="C203" s="289" t="s">
        <v>293</v>
      </c>
      <c r="H203" s="289" t="s">
        <v>303</v>
      </c>
      <c r="M203" s="289" t="s">
        <v>331</v>
      </c>
      <c r="R203" s="289" t="s">
        <v>330</v>
      </c>
    </row>
    <row r="204" spans="1:21" ht="18.75">
      <c r="A204" s="303" t="s">
        <v>347</v>
      </c>
      <c r="C204" s="285" t="s">
        <v>304</v>
      </c>
      <c r="D204" s="285" t="s">
        <v>305</v>
      </c>
      <c r="E204" s="285" t="s">
        <v>306</v>
      </c>
      <c r="F204" s="286" t="s">
        <v>307</v>
      </c>
      <c r="G204" s="62"/>
      <c r="H204" s="285" t="s">
        <v>304</v>
      </c>
      <c r="I204" s="285" t="s">
        <v>305</v>
      </c>
      <c r="J204" s="285" t="s">
        <v>306</v>
      </c>
      <c r="K204" s="286" t="s">
        <v>307</v>
      </c>
      <c r="L204" s="62"/>
      <c r="M204" s="285" t="s">
        <v>304</v>
      </c>
      <c r="N204" s="285" t="s">
        <v>305</v>
      </c>
      <c r="O204" s="285" t="s">
        <v>306</v>
      </c>
      <c r="P204" s="286" t="s">
        <v>307</v>
      </c>
      <c r="Q204" s="62"/>
      <c r="R204" s="285" t="s">
        <v>304</v>
      </c>
      <c r="S204" s="285" t="s">
        <v>305</v>
      </c>
      <c r="T204" s="285" t="s">
        <v>306</v>
      </c>
      <c r="U204" s="286" t="s">
        <v>307</v>
      </c>
    </row>
    <row r="205" spans="1:21" ht="15.75">
      <c r="A205" s="303"/>
      <c r="C205" s="285"/>
      <c r="D205" s="285"/>
      <c r="E205" s="285"/>
      <c r="F205" s="286"/>
      <c r="G205" s="62"/>
      <c r="H205" s="285"/>
      <c r="I205" s="285"/>
      <c r="J205" s="285"/>
      <c r="K205" s="286"/>
      <c r="L205" s="62"/>
      <c r="M205" s="285"/>
      <c r="N205" s="285"/>
      <c r="O205" s="285"/>
      <c r="P205" s="286"/>
      <c r="Q205" s="62"/>
      <c r="R205" s="285"/>
      <c r="S205" s="285"/>
      <c r="T205" s="285"/>
      <c r="U205" s="286"/>
    </row>
    <row r="206" spans="1:21">
      <c r="A206" s="299" t="s">
        <v>288</v>
      </c>
      <c r="B206" s="304"/>
      <c r="C206" s="304" t="str">
        <f>IF(B206="","",B206*'C.U. tab. riassuntiva'!$G$7)</f>
        <v/>
      </c>
      <c r="D206" s="304" t="str">
        <f>IF(B206="","",B206*'C.U. tab. riassuntiva'!$H$7)</f>
        <v/>
      </c>
      <c r="E206" s="304" t="str">
        <f>IF(B206="","",B206*'C.U. tab. riassuntiva'!$I$7)</f>
        <v/>
      </c>
      <c r="F206" s="304" t="str">
        <f>IF(B206="","",B206*'C.U. tab. riassuntiva'!$J$7)</f>
        <v/>
      </c>
      <c r="G206" s="23">
        <v>0.5</v>
      </c>
      <c r="H206" s="304">
        <f>IF(G206="","",G206*'C.U. tab. riassuntiva'!$G$4)</f>
        <v>2.6585000000000001</v>
      </c>
      <c r="I206" s="304">
        <f>IF(G206="","",G206*'C.U. tab. riassuntiva'!$H$4)</f>
        <v>2.4</v>
      </c>
      <c r="J206" s="304">
        <f>IF(G206="","",G206*'C.U. tab. riassuntiva'!$I$4)</f>
        <v>2.0449999999999999</v>
      </c>
      <c r="K206" s="304">
        <f>IF(G206="","",G206*'C.U. tab. riassuntiva'!$J$4)</f>
        <v>0.89999999999999991</v>
      </c>
      <c r="L206" s="23">
        <v>0.5</v>
      </c>
      <c r="M206" s="304">
        <f>IF(L206="","",L206*'C.U. tab. riassuntiva'!$G$4)</f>
        <v>2.6585000000000001</v>
      </c>
      <c r="N206" s="304">
        <f>IF(L206="","",L206*'C.U. tab. riassuntiva'!$H$4)</f>
        <v>2.4</v>
      </c>
      <c r="O206" s="304">
        <f>IF(L206="","",L206*'C.U. tab. riassuntiva'!$I$4)</f>
        <v>2.0449999999999999</v>
      </c>
      <c r="P206" s="304">
        <f>IF(L206="","",L206*'C.U. tab. riassuntiva'!$J$4)</f>
        <v>0.89999999999999991</v>
      </c>
      <c r="Q206" s="23">
        <v>0.5</v>
      </c>
      <c r="R206" s="304">
        <f>IF(Q206="","",Q206*'C.U. tab. riassuntiva'!$G$4)</f>
        <v>2.6585000000000001</v>
      </c>
      <c r="S206" s="304">
        <f>IF(Q206="","",Q206*'C.U. tab. riassuntiva'!$H$4)</f>
        <v>2.4</v>
      </c>
      <c r="T206" s="304">
        <f>IF(Q206="","",Q206*'C.U. tab. riassuntiva'!$I$4)</f>
        <v>2.0449999999999999</v>
      </c>
      <c r="U206" s="304">
        <f>IF(Q206="","",Q206*'C.U. tab. riassuntiva'!$J$4)</f>
        <v>0.89999999999999991</v>
      </c>
    </row>
    <row r="207" spans="1:21">
      <c r="A207" s="299" t="s">
        <v>289</v>
      </c>
      <c r="B207" s="305">
        <v>0.6</v>
      </c>
      <c r="C207" s="304">
        <f>IF(B207="","",B207*'C.U. tab. riassuntiva'!$G$9)</f>
        <v>1.2869999999999999</v>
      </c>
      <c r="D207" s="304">
        <f>IF(B207="","",B207*'C.U. tab. riassuntiva'!$H$9)</f>
        <v>0.44999999999999996</v>
      </c>
      <c r="E207" s="304">
        <f>IF(B207="","",B207*'C.U. tab. riassuntiva'!$I$9)</f>
        <v>0.98999999999999988</v>
      </c>
      <c r="F207" s="304">
        <f>IF(B207="","",B207*'C.U. tab. riassuntiva'!$J$9)</f>
        <v>0</v>
      </c>
      <c r="G207" s="3"/>
      <c r="H207" s="304" t="str">
        <f>IF(G207="","",G207*'C.U. tab. riassuntiva'!$G$10)</f>
        <v/>
      </c>
      <c r="I207" s="304" t="str">
        <f>IF(G207="","",G207*'C.U. tab. riassuntiva'!$H$10)</f>
        <v/>
      </c>
      <c r="J207" s="304" t="str">
        <f>IF(G207="","",G207*'C.U. tab. riassuntiva'!$I$10)</f>
        <v/>
      </c>
      <c r="K207" s="304" t="str">
        <f>IF(G207="","",G207*'C.U. tab. riassuntiva'!$J$10)</f>
        <v/>
      </c>
      <c r="L207" s="3"/>
      <c r="M207" s="304" t="str">
        <f>IF(L207="","",L207*'C.U. tab. riassuntiva'!$G$10)</f>
        <v/>
      </c>
      <c r="N207" s="304" t="str">
        <f>IF(L207="","",L207*'C.U. tab. riassuntiva'!$H$10)</f>
        <v/>
      </c>
      <c r="O207" s="304" t="str">
        <f>IF(L207="","",L207*'C.U. tab. riassuntiva'!$I$10)</f>
        <v/>
      </c>
      <c r="P207" s="304" t="str">
        <f>IF(L207="","",L207*'C.U. tab. riassuntiva'!$J$10)</f>
        <v/>
      </c>
      <c r="Q207" s="3"/>
      <c r="R207" s="304" t="str">
        <f>IF(Q207="","",Q207*'C.U. tab. riassuntiva'!$G$10)</f>
        <v/>
      </c>
      <c r="S207" s="304" t="str">
        <f>IF(Q207="","",Q207*'C.U. tab. riassuntiva'!$H$10)</f>
        <v/>
      </c>
      <c r="T207" s="304" t="str">
        <f>IF(Q207="","",Q207*'C.U. tab. riassuntiva'!$I$10)</f>
        <v/>
      </c>
      <c r="U207" s="304" t="str">
        <f>IF(Q207="","",Q207*'C.U. tab. riassuntiva'!$J$10)</f>
        <v/>
      </c>
    </row>
    <row r="208" spans="1:21">
      <c r="A208" s="299" t="s">
        <v>290</v>
      </c>
      <c r="B208" s="305"/>
      <c r="C208" s="304" t="str">
        <f>IF(B208="","",B208*'C.U. tab. riassuntiva'!$G$11)</f>
        <v/>
      </c>
      <c r="D208" s="304" t="str">
        <f>IF(B208="","",B208*'C.U. tab. riassuntiva'!$H$11)</f>
        <v/>
      </c>
      <c r="E208" s="304" t="str">
        <f>IF(B208="","",B208*'C.U. tab. riassuntiva'!$I$11)</f>
        <v/>
      </c>
      <c r="F208" s="304" t="str">
        <f>IF(B208="","",B208*'C.U. tab. riassuntiva'!$J$11)</f>
        <v/>
      </c>
      <c r="G208" s="3"/>
      <c r="H208" s="304" t="str">
        <f>IF(G208="","",G208*'C.U. tab. riassuntiva'!$G$11)</f>
        <v/>
      </c>
      <c r="I208" s="304" t="str">
        <f>IF(G208="","",G208*'C.U. tab. riassuntiva'!$H$11)</f>
        <v/>
      </c>
      <c r="J208" s="304" t="str">
        <f>IF(G208="","",G208*'C.U. tab. riassuntiva'!$I$11)</f>
        <v/>
      </c>
      <c r="K208" s="304" t="str">
        <f>IF(G208="","",G208*'C.U. tab. riassuntiva'!$J$11)</f>
        <v/>
      </c>
      <c r="L208" s="3"/>
      <c r="M208" s="304" t="str">
        <f>IF(L208="","",L208*'C.U. tab. riassuntiva'!$G$11)</f>
        <v/>
      </c>
      <c r="N208" s="304" t="str">
        <f>IF(L208="","",L208*'C.U. tab. riassuntiva'!$H$11)</f>
        <v/>
      </c>
      <c r="O208" s="304" t="str">
        <f>IF(L208="","",L208*'C.U. tab. riassuntiva'!$I$11)</f>
        <v/>
      </c>
      <c r="P208" s="304" t="str">
        <f>IF(L208="","",L208*'C.U. tab. riassuntiva'!$J$11)</f>
        <v/>
      </c>
      <c r="Q208" s="3"/>
      <c r="R208" s="304" t="str">
        <f>IF(Q208="","",Q208*'C.U. tab. riassuntiva'!$G$11)</f>
        <v/>
      </c>
      <c r="S208" s="304" t="str">
        <f>IF(Q208="","",Q208*'C.U. tab. riassuntiva'!$H$11)</f>
        <v/>
      </c>
      <c r="T208" s="304" t="str">
        <f>IF(Q208="","",Q208*'C.U. tab. riassuntiva'!$I$11)</f>
        <v/>
      </c>
      <c r="U208" s="304" t="str">
        <f>IF(Q208="","",Q208*'C.U. tab. riassuntiva'!$J$11)</f>
        <v/>
      </c>
    </row>
    <row r="209" spans="1:21">
      <c r="A209" s="299" t="s">
        <v>291</v>
      </c>
      <c r="B209" s="305">
        <v>1</v>
      </c>
      <c r="C209" s="304">
        <f>IF(B209="","",B209*'C.U. tab. riassuntiva'!$G$12)</f>
        <v>3.8415000000000004</v>
      </c>
      <c r="D209" s="304"/>
      <c r="E209" s="304">
        <f>IF(B209="","",B209*'C.U. tab. riassuntiva'!$I$12)</f>
        <v>2.9550000000000001</v>
      </c>
      <c r="F209" s="304"/>
      <c r="G209" s="3">
        <v>1</v>
      </c>
      <c r="H209" s="304">
        <f>IF(G209="","",G209*'C.U. tab. riassuntiva'!$G$12)</f>
        <v>3.8415000000000004</v>
      </c>
      <c r="I209" s="304"/>
      <c r="J209" s="304">
        <f>IF(G209="","",G209*'C.U. tab. riassuntiva'!$I$12)</f>
        <v>2.9550000000000001</v>
      </c>
      <c r="K209" s="304"/>
      <c r="L209" s="3">
        <v>1</v>
      </c>
      <c r="M209" s="304">
        <f>IF(L209="","",L209*'C.U. tab. riassuntiva'!$G$13)</f>
        <v>4.8165000000000004</v>
      </c>
      <c r="N209" s="304"/>
      <c r="O209" s="304">
        <f>IF(L209="","",L209*'C.U. tab. riassuntiva'!$I$13)</f>
        <v>3.7050000000000001</v>
      </c>
      <c r="P209" s="304"/>
      <c r="Q209" s="3">
        <v>1</v>
      </c>
      <c r="R209" s="304">
        <f>IF(Q209="","",Q209*'C.U. tab. riassuntiva'!$G$13)</f>
        <v>4.8165000000000004</v>
      </c>
      <c r="S209" s="304"/>
      <c r="T209" s="304">
        <f>IF(Q209="","",Q209*'C.U. tab. riassuntiva'!$I$13)</f>
        <v>3.7050000000000001</v>
      </c>
      <c r="U209" s="304"/>
    </row>
    <row r="210" spans="1:21">
      <c r="A210" s="299" t="s">
        <v>292</v>
      </c>
      <c r="B210" s="305"/>
      <c r="C210" s="304" t="str">
        <f>IF(B210="","",B210*'C.U. tab. riassuntiva'!$G$14)</f>
        <v/>
      </c>
      <c r="D210" s="304"/>
      <c r="E210" s="304" t="str">
        <f>IF(B210="","",B210*'C.U. tab. riassuntiva'!$I$14)</f>
        <v/>
      </c>
      <c r="F210" s="304"/>
      <c r="G210" s="3"/>
      <c r="H210" s="304" t="str">
        <f>IF(G210="","",G210*'C.U. tab. riassuntiva'!$G$14)</f>
        <v/>
      </c>
      <c r="I210" s="304"/>
      <c r="J210" s="304" t="str">
        <f>IF(G210="","",G210*'C.U. tab. riassuntiva'!$I$14)</f>
        <v/>
      </c>
      <c r="K210" s="304"/>
      <c r="L210" s="3"/>
      <c r="M210" s="304" t="str">
        <f>IF(L210="","",L210*'C.U. tab. riassuntiva'!$G$14)</f>
        <v/>
      </c>
      <c r="N210" s="304"/>
      <c r="O210" s="304" t="str">
        <f>IF(L210="","",L210*'C.U. tab. riassuntiva'!$I$14)</f>
        <v/>
      </c>
      <c r="P210" s="304"/>
      <c r="Q210" s="3"/>
      <c r="R210" s="304" t="str">
        <f>IF(Q210="","",Q210*'C.U. tab. riassuntiva'!$G$14)</f>
        <v/>
      </c>
      <c r="S210" s="304"/>
      <c r="T210" s="304" t="str">
        <f>IF(Q210="","",Q210*'C.U. tab. riassuntiva'!$I$14)</f>
        <v/>
      </c>
      <c r="U210" s="304"/>
    </row>
    <row r="211" spans="1:21">
      <c r="A211" s="299" t="s">
        <v>15</v>
      </c>
      <c r="B211" s="305">
        <v>1</v>
      </c>
      <c r="C211" s="77">
        <f>IF(B211="","",B211*'C.U. tab. riassuntiva'!$G$16)</f>
        <v>7.4360000000000008</v>
      </c>
      <c r="D211" s="77"/>
      <c r="E211" s="77">
        <f>IF(B211="","",B211*'C.U. tab. riassuntiva'!$I$16)</f>
        <v>5.7200000000000006</v>
      </c>
      <c r="F211" s="77"/>
      <c r="G211" s="3">
        <v>1</v>
      </c>
      <c r="H211" s="77">
        <f>IF(G211="","",G211*'C.U. tab. riassuntiva'!$G$16)</f>
        <v>7.4360000000000008</v>
      </c>
      <c r="I211" s="77"/>
      <c r="J211" s="77">
        <f>IF(G211="","",G211*'C.U. tab. riassuntiva'!$I$16)</f>
        <v>5.7200000000000006</v>
      </c>
      <c r="K211" s="77"/>
      <c r="L211" s="3">
        <v>1</v>
      </c>
      <c r="M211" s="77">
        <f>IF(L211="","",L211*'C.U. tab. riassuntiva'!$G$16)</f>
        <v>7.4360000000000008</v>
      </c>
      <c r="N211" s="77"/>
      <c r="O211" s="77">
        <f>IF(L211="","",L211*'C.U. tab. riassuntiva'!$I$16)</f>
        <v>5.7200000000000006</v>
      </c>
      <c r="P211" s="77"/>
      <c r="Q211" s="3">
        <v>1</v>
      </c>
      <c r="R211" s="77">
        <f>IF(Q211="","",Q211*'C.U. tab. riassuntiva'!$G$16)</f>
        <v>7.4360000000000008</v>
      </c>
      <c r="S211" s="77"/>
      <c r="T211" s="77">
        <f>IF(Q211="","",Q211*'C.U. tab. riassuntiva'!$I$16)</f>
        <v>5.7200000000000006</v>
      </c>
      <c r="U211" s="77"/>
    </row>
    <row r="212" spans="1:21">
      <c r="A212" s="299"/>
      <c r="C212" s="284">
        <f>SUM(C206:C211)</f>
        <v>12.564500000000002</v>
      </c>
      <c r="D212" s="284">
        <f>SUM(D206:D211)</f>
        <v>0.44999999999999996</v>
      </c>
      <c r="E212" s="284">
        <f>SUM(E206:E211)</f>
        <v>9.6650000000000009</v>
      </c>
      <c r="F212" s="284">
        <f>SUM(F206:F211)</f>
        <v>0</v>
      </c>
      <c r="G212" s="62"/>
      <c r="H212" s="284">
        <f>SUM(H206:H211)</f>
        <v>13.936</v>
      </c>
      <c r="I212" s="284">
        <f>SUM(I206:I211)</f>
        <v>2.4</v>
      </c>
      <c r="J212" s="284">
        <f>SUM(J206:J211)</f>
        <v>10.72</v>
      </c>
      <c r="K212" s="284">
        <f>SUM(K206:K211)</f>
        <v>0.89999999999999991</v>
      </c>
      <c r="L212" s="62"/>
      <c r="M212" s="284">
        <f>SUM(M206:M211)</f>
        <v>14.911000000000001</v>
      </c>
      <c r="N212" s="284">
        <f>SUM(N206:N211)</f>
        <v>2.4</v>
      </c>
      <c r="O212" s="284">
        <f>SUM(O206:O211)</f>
        <v>11.47</v>
      </c>
      <c r="P212" s="284">
        <f>SUM(P206:P211)</f>
        <v>0.89999999999999991</v>
      </c>
      <c r="Q212" s="62"/>
      <c r="R212" s="284">
        <f>SUM(R206:R211)</f>
        <v>14.911000000000001</v>
      </c>
      <c r="S212" s="284">
        <f>SUM(S206:S211)</f>
        <v>2.4</v>
      </c>
      <c r="T212" s="284">
        <f>SUM(T206:T211)</f>
        <v>11.47</v>
      </c>
      <c r="U212" s="284">
        <f>SUM(U206:U211)</f>
        <v>0.89999999999999991</v>
      </c>
    </row>
    <row r="213" spans="1:21">
      <c r="A213" s="43"/>
      <c r="C213" s="471">
        <f>C212+D212</f>
        <v>13.014500000000002</v>
      </c>
      <c r="D213" s="472"/>
      <c r="E213" s="471">
        <f>E212+F212</f>
        <v>9.6650000000000009</v>
      </c>
      <c r="F213" s="472"/>
      <c r="H213" s="471">
        <f>H212+I212</f>
        <v>16.335999999999999</v>
      </c>
      <c r="I213" s="471"/>
      <c r="J213" s="471">
        <f>J212+K212</f>
        <v>11.620000000000001</v>
      </c>
      <c r="K213" s="471"/>
      <c r="L213" s="314"/>
      <c r="M213" s="471">
        <f>M212+N212</f>
        <v>17.311</v>
      </c>
      <c r="N213" s="471"/>
      <c r="O213" s="471">
        <f>O212+P212</f>
        <v>12.370000000000001</v>
      </c>
      <c r="P213" s="471"/>
      <c r="Q213" s="314"/>
      <c r="R213" s="471">
        <f>R212+S212</f>
        <v>17.311</v>
      </c>
      <c r="S213" s="471"/>
      <c r="T213" s="471">
        <f>T212+U212</f>
        <v>12.370000000000001</v>
      </c>
      <c r="U213" s="471"/>
    </row>
    <row r="215" spans="1:21">
      <c r="A215" s="316" t="s">
        <v>238</v>
      </c>
    </row>
    <row r="216" spans="1:21">
      <c r="A216" s="272" t="s">
        <v>287</v>
      </c>
      <c r="B216" s="43"/>
      <c r="C216" s="289" t="s">
        <v>293</v>
      </c>
      <c r="H216" s="289" t="s">
        <v>303</v>
      </c>
      <c r="M216" s="289" t="s">
        <v>331</v>
      </c>
      <c r="R216" s="289" t="s">
        <v>330</v>
      </c>
    </row>
    <row r="217" spans="1:21" ht="18.75">
      <c r="A217" s="303" t="s">
        <v>348</v>
      </c>
      <c r="C217" s="285" t="s">
        <v>304</v>
      </c>
      <c r="D217" s="285" t="s">
        <v>305</v>
      </c>
      <c r="E217" s="285" t="s">
        <v>306</v>
      </c>
      <c r="F217" s="286" t="s">
        <v>307</v>
      </c>
      <c r="G217" s="62"/>
      <c r="H217" s="285" t="s">
        <v>304</v>
      </c>
      <c r="I217" s="285" t="s">
        <v>305</v>
      </c>
      <c r="J217" s="285" t="s">
        <v>306</v>
      </c>
      <c r="K217" s="286" t="s">
        <v>307</v>
      </c>
      <c r="L217" s="62"/>
      <c r="M217" s="285" t="s">
        <v>304</v>
      </c>
      <c r="N217" s="285" t="s">
        <v>305</v>
      </c>
      <c r="O217" s="285" t="s">
        <v>306</v>
      </c>
      <c r="P217" s="286" t="s">
        <v>307</v>
      </c>
      <c r="Q217" s="62"/>
      <c r="R217" s="285" t="s">
        <v>304</v>
      </c>
      <c r="S217" s="285" t="s">
        <v>305</v>
      </c>
      <c r="T217" s="285" t="s">
        <v>306</v>
      </c>
      <c r="U217" s="286" t="s">
        <v>307</v>
      </c>
    </row>
    <row r="218" spans="1:21" ht="15.75">
      <c r="A218" s="303"/>
      <c r="C218" s="285"/>
      <c r="D218" s="285"/>
      <c r="E218" s="285"/>
      <c r="F218" s="286"/>
      <c r="G218" s="62"/>
      <c r="H218" s="285"/>
      <c r="I218" s="285"/>
      <c r="J218" s="285"/>
      <c r="K218" s="286"/>
      <c r="L218" s="62"/>
      <c r="M218" s="285"/>
      <c r="N218" s="285"/>
      <c r="O218" s="285"/>
      <c r="P218" s="286"/>
      <c r="Q218" s="62"/>
      <c r="R218" s="285"/>
      <c r="S218" s="285"/>
      <c r="T218" s="285"/>
      <c r="U218" s="286"/>
    </row>
    <row r="219" spans="1:21">
      <c r="A219" s="299" t="s">
        <v>288</v>
      </c>
      <c r="B219" s="304">
        <f>1.2*(4.3/2)</f>
        <v>2.5799999999999996</v>
      </c>
      <c r="C219" s="304">
        <f>IF(B219="","",B219*'C.U. tab. riassuntiva'!$G$7)</f>
        <v>14.120339999999997</v>
      </c>
      <c r="D219" s="304">
        <f>IF(B219="","",B219*'C.U. tab. riassuntiva'!$H$7)</f>
        <v>7.7399999999999984</v>
      </c>
      <c r="E219" s="304">
        <f>IF(B219="","",B219*'C.U. tab. riassuntiva'!$I$7)</f>
        <v>10.861799999999999</v>
      </c>
      <c r="F219" s="304">
        <f>IF(B219="","",B219*'C.U. tab. riassuntiva'!$J$7)</f>
        <v>1.5479999999999998</v>
      </c>
      <c r="G219" s="23">
        <f>1.2*(4.3/2)</f>
        <v>2.5799999999999996</v>
      </c>
      <c r="H219" s="304">
        <f>IF(G219="","",G219*'C.U. tab. riassuntiva'!$G$4)</f>
        <v>13.717859999999998</v>
      </c>
      <c r="I219" s="304">
        <f>IF(G219="","",G219*'C.U. tab. riassuntiva'!$H$4)</f>
        <v>12.383999999999999</v>
      </c>
      <c r="J219" s="304">
        <f>IF(G219="","",G219*'C.U. tab. riassuntiva'!$I$4)</f>
        <v>10.552199999999997</v>
      </c>
      <c r="K219" s="304">
        <f>IF(G219="","",G219*'C.U. tab. riassuntiva'!$J$4)</f>
        <v>4.6439999999999992</v>
      </c>
      <c r="L219" s="23">
        <f>1.2*(4.3/2)</f>
        <v>2.5799999999999996</v>
      </c>
      <c r="M219" s="304">
        <f>IF(L219="","",L219*'C.U. tab. riassuntiva'!$G$4)</f>
        <v>13.717859999999998</v>
      </c>
      <c r="N219" s="304">
        <f>IF(L219="","",L219*'C.U. tab. riassuntiva'!$H$4)</f>
        <v>12.383999999999999</v>
      </c>
      <c r="O219" s="304">
        <f>IF(L219="","",L219*'C.U. tab. riassuntiva'!$I$4)</f>
        <v>10.552199999999997</v>
      </c>
      <c r="P219" s="304">
        <f>IF(L219="","",L219*'C.U. tab. riassuntiva'!$J$4)</f>
        <v>4.6439999999999992</v>
      </c>
      <c r="Q219" s="23">
        <f>1.2*(4.3/2)</f>
        <v>2.5799999999999996</v>
      </c>
      <c r="R219" s="304">
        <f>IF(Q219="","",Q219*'C.U. tab. riassuntiva'!$G$4)</f>
        <v>13.717859999999998</v>
      </c>
      <c r="S219" s="304">
        <f>IF(Q219="","",Q219*'C.U. tab. riassuntiva'!$H$4)</f>
        <v>12.383999999999999</v>
      </c>
      <c r="T219" s="304">
        <f>IF(Q219="","",Q219*'C.U. tab. riassuntiva'!$I$4)</f>
        <v>10.552199999999997</v>
      </c>
      <c r="U219" s="304">
        <f>IF(Q219="","",Q219*'C.U. tab. riassuntiva'!$J$4)</f>
        <v>4.6439999999999992</v>
      </c>
    </row>
    <row r="220" spans="1:21">
      <c r="A220" s="299" t="s">
        <v>289</v>
      </c>
      <c r="B220" s="305"/>
      <c r="C220" s="304" t="str">
        <f>IF(B220="","",B220*'C.U. tab. riassuntiva'!$G$9)</f>
        <v/>
      </c>
      <c r="D220" s="304" t="str">
        <f>IF(B220="","",B220*'C.U. tab. riassuntiva'!$H$9)</f>
        <v/>
      </c>
      <c r="E220" s="304" t="str">
        <f>IF(B220="","",B220*'C.U. tab. riassuntiva'!$I$9)</f>
        <v/>
      </c>
      <c r="F220" s="304" t="str">
        <f>IF(B220="","",B220*'C.U. tab. riassuntiva'!$J$9)</f>
        <v/>
      </c>
      <c r="G220" s="3"/>
      <c r="H220" s="304" t="str">
        <f>IF(G220="","",G220*'C.U. tab. riassuntiva'!$G$10)</f>
        <v/>
      </c>
      <c r="I220" s="304" t="str">
        <f>IF(G220="","",G220*'C.U. tab. riassuntiva'!$H$10)</f>
        <v/>
      </c>
      <c r="J220" s="304" t="str">
        <f>IF(G220="","",G220*'C.U. tab. riassuntiva'!$I$10)</f>
        <v/>
      </c>
      <c r="K220" s="304" t="str">
        <f>IF(G220="","",G220*'C.U. tab. riassuntiva'!$J$10)</f>
        <v/>
      </c>
      <c r="L220" s="3"/>
      <c r="M220" s="304" t="str">
        <f>IF(L220="","",L220*'C.U. tab. riassuntiva'!$G$10)</f>
        <v/>
      </c>
      <c r="N220" s="304" t="str">
        <f>IF(L220="","",L220*'C.U. tab. riassuntiva'!$H$10)</f>
        <v/>
      </c>
      <c r="O220" s="304" t="str">
        <f>IF(L220="","",L220*'C.U. tab. riassuntiva'!$I$10)</f>
        <v/>
      </c>
      <c r="P220" s="304" t="str">
        <f>IF(L220="","",L220*'C.U. tab. riassuntiva'!$J$10)</f>
        <v/>
      </c>
      <c r="Q220" s="3"/>
      <c r="R220" s="304" t="str">
        <f>IF(Q220="","",Q220*'C.U. tab. riassuntiva'!$G$10)</f>
        <v/>
      </c>
      <c r="S220" s="304" t="str">
        <f>IF(Q220="","",Q220*'C.U. tab. riassuntiva'!$H$10)</f>
        <v/>
      </c>
      <c r="T220" s="304" t="str">
        <f>IF(Q220="","",Q220*'C.U. tab. riassuntiva'!$I$10)</f>
        <v/>
      </c>
      <c r="U220" s="304" t="str">
        <f>IF(Q220="","",Q220*'C.U. tab. riassuntiva'!$J$10)</f>
        <v/>
      </c>
    </row>
    <row r="221" spans="1:21">
      <c r="A221" s="299" t="s">
        <v>290</v>
      </c>
      <c r="B221" s="305"/>
      <c r="C221" s="304" t="str">
        <f>IF(B221="","",B221*'C.U. tab. riassuntiva'!$G$11)</f>
        <v/>
      </c>
      <c r="D221" s="304" t="str">
        <f>IF(B221="","",B221*'C.U. tab. riassuntiva'!$H$11)</f>
        <v/>
      </c>
      <c r="E221" s="304" t="str">
        <f>IF(B221="","",B221*'C.U. tab. riassuntiva'!$I$11)</f>
        <v/>
      </c>
      <c r="F221" s="304" t="str">
        <f>IF(B221="","",B221*'C.U. tab. riassuntiva'!$J$11)</f>
        <v/>
      </c>
      <c r="G221" s="3"/>
      <c r="H221" s="304" t="str">
        <f>IF(G221="","",G221*'C.U. tab. riassuntiva'!$G$11)</f>
        <v/>
      </c>
      <c r="I221" s="304" t="str">
        <f>IF(G221="","",G221*'C.U. tab. riassuntiva'!$H$11)</f>
        <v/>
      </c>
      <c r="J221" s="304" t="str">
        <f>IF(G221="","",G221*'C.U. tab. riassuntiva'!$I$11)</f>
        <v/>
      </c>
      <c r="K221" s="304" t="str">
        <f>IF(G221="","",G221*'C.U. tab. riassuntiva'!$J$11)</f>
        <v/>
      </c>
      <c r="L221" s="3"/>
      <c r="M221" s="304" t="str">
        <f>IF(L221="","",L221*'C.U. tab. riassuntiva'!$G$11)</f>
        <v/>
      </c>
      <c r="N221" s="304" t="str">
        <f>IF(L221="","",L221*'C.U. tab. riassuntiva'!$H$11)</f>
        <v/>
      </c>
      <c r="O221" s="304" t="str">
        <f>IF(L221="","",L221*'C.U. tab. riassuntiva'!$I$11)</f>
        <v/>
      </c>
      <c r="P221" s="304" t="str">
        <f>IF(L221="","",L221*'C.U. tab. riassuntiva'!$J$11)</f>
        <v/>
      </c>
      <c r="Q221" s="3"/>
      <c r="R221" s="304" t="str">
        <f>IF(Q221="","",Q221*'C.U. tab. riassuntiva'!$G$11)</f>
        <v/>
      </c>
      <c r="S221" s="304" t="str">
        <f>IF(Q221="","",Q221*'C.U. tab. riassuntiva'!$H$11)</f>
        <v/>
      </c>
      <c r="T221" s="304" t="str">
        <f>IF(Q221="","",Q221*'C.U. tab. riassuntiva'!$I$11)</f>
        <v/>
      </c>
      <c r="U221" s="304" t="str">
        <f>IF(Q221="","",Q221*'C.U. tab. riassuntiva'!$J$11)</f>
        <v/>
      </c>
    </row>
    <row r="222" spans="1:21">
      <c r="A222" s="299" t="s">
        <v>291</v>
      </c>
      <c r="B222" s="305">
        <v>1</v>
      </c>
      <c r="C222" s="304">
        <f>IF(B222="","",B222*'C.U. tab. riassuntiva'!$G$12)</f>
        <v>3.8415000000000004</v>
      </c>
      <c r="D222" s="304"/>
      <c r="E222" s="304">
        <f>IF(B222="","",B222*'C.U. tab. riassuntiva'!$I$12)</f>
        <v>2.9550000000000001</v>
      </c>
      <c r="F222" s="304"/>
      <c r="G222" s="3">
        <v>1</v>
      </c>
      <c r="H222" s="304">
        <f>IF(G222="","",G222*'C.U. tab. riassuntiva'!$G$12)</f>
        <v>3.8415000000000004</v>
      </c>
      <c r="I222" s="304"/>
      <c r="J222" s="304">
        <f>IF(G222="","",G222*'C.U. tab. riassuntiva'!$I$12)</f>
        <v>2.9550000000000001</v>
      </c>
      <c r="K222" s="304"/>
      <c r="L222" s="3">
        <v>1</v>
      </c>
      <c r="M222" s="304">
        <f>IF(L222="","",L222*'C.U. tab. riassuntiva'!$G$13)</f>
        <v>4.8165000000000004</v>
      </c>
      <c r="N222" s="304"/>
      <c r="O222" s="304">
        <f>IF(L222="","",L222*'C.U. tab. riassuntiva'!$I$13)</f>
        <v>3.7050000000000001</v>
      </c>
      <c r="P222" s="304"/>
      <c r="Q222" s="3">
        <v>1</v>
      </c>
      <c r="R222" s="304">
        <f>IF(Q222="","",Q222*'C.U. tab. riassuntiva'!$G$13)</f>
        <v>4.8165000000000004</v>
      </c>
      <c r="S222" s="304"/>
      <c r="T222" s="304">
        <f>IF(Q222="","",Q222*'C.U. tab. riassuntiva'!$I$13)</f>
        <v>3.7050000000000001</v>
      </c>
      <c r="U222" s="304"/>
    </row>
    <row r="223" spans="1:21">
      <c r="A223" s="299" t="s">
        <v>292</v>
      </c>
      <c r="C223" s="304" t="str">
        <f>IF(B223="","",B223*'C.U. tab. riassuntiva'!$G$14)</f>
        <v/>
      </c>
      <c r="D223" s="304"/>
      <c r="E223" s="304" t="str">
        <f>IF(B223="","",B223*'C.U. tab. riassuntiva'!$I$14)</f>
        <v/>
      </c>
      <c r="F223" s="304"/>
      <c r="G223" s="62"/>
      <c r="H223" s="304" t="str">
        <f>IF(G223="","",G223*'C.U. tab. riassuntiva'!$G$14)</f>
        <v/>
      </c>
      <c r="I223" s="304"/>
      <c r="J223" s="304" t="str">
        <f>IF(G223="","",G223*'C.U. tab. riassuntiva'!$I$14)</f>
        <v/>
      </c>
      <c r="K223" s="304"/>
      <c r="L223" s="62"/>
      <c r="M223" s="304" t="str">
        <f>IF(L223="","",L223*'C.U. tab. riassuntiva'!$G$14)</f>
        <v/>
      </c>
      <c r="N223" s="304"/>
      <c r="O223" s="304" t="str">
        <f>IF(L223="","",L223*'C.U. tab. riassuntiva'!$I$14)</f>
        <v/>
      </c>
      <c r="P223" s="304"/>
      <c r="Q223" s="62"/>
      <c r="R223" s="304" t="str">
        <f>IF(Q223="","",Q223*'C.U. tab. riassuntiva'!$G$14)</f>
        <v/>
      </c>
      <c r="S223" s="304"/>
      <c r="T223" s="304" t="str">
        <f>IF(Q223="","",Q223*'C.U. tab. riassuntiva'!$I$14)</f>
        <v/>
      </c>
      <c r="U223" s="304"/>
    </row>
    <row r="224" spans="1:21">
      <c r="A224" s="299" t="s">
        <v>15</v>
      </c>
      <c r="B224" s="305"/>
      <c r="C224" s="77" t="str">
        <f>IF(B224="","",B224*'C.U. tab. riassuntiva'!$G$16)</f>
        <v/>
      </c>
      <c r="D224" s="77"/>
      <c r="E224" s="77" t="str">
        <f>IF(B224="","",B224*'C.U. tab. riassuntiva'!$I$16)</f>
        <v/>
      </c>
      <c r="F224" s="77"/>
      <c r="G224" s="3"/>
      <c r="H224" s="77" t="str">
        <f>IF(G224="","",G224*'C.U. tab. riassuntiva'!$G$16)</f>
        <v/>
      </c>
      <c r="I224" s="77"/>
      <c r="J224" s="77" t="str">
        <f>IF(G224="","",G224*'C.U. tab. riassuntiva'!$I$16)</f>
        <v/>
      </c>
      <c r="K224" s="77"/>
      <c r="L224" s="3"/>
      <c r="M224" s="77" t="str">
        <f>IF(L224="","",L224*'C.U. tab. riassuntiva'!$G$16)</f>
        <v/>
      </c>
      <c r="N224" s="77"/>
      <c r="O224" s="77" t="str">
        <f>IF(L224="","",L224*'C.U. tab. riassuntiva'!$I$16)</f>
        <v/>
      </c>
      <c r="P224" s="77"/>
      <c r="Q224" s="3"/>
      <c r="R224" s="77" t="str">
        <f>IF(Q224="","",Q224*'C.U. tab. riassuntiva'!$G$16)</f>
        <v/>
      </c>
      <c r="S224" s="77"/>
      <c r="T224" s="77" t="str">
        <f>IF(Q224="","",Q224*'C.U. tab. riassuntiva'!$I$16)</f>
        <v/>
      </c>
      <c r="U224" s="77"/>
    </row>
    <row r="225" spans="1:21">
      <c r="A225" s="299"/>
      <c r="C225" s="284">
        <f>SUM(C219:C224)</f>
        <v>17.961839999999999</v>
      </c>
      <c r="D225" s="284">
        <f>SUM(D219:D224)</f>
        <v>7.7399999999999984</v>
      </c>
      <c r="E225" s="284">
        <f>SUM(E219:E224)</f>
        <v>13.816799999999999</v>
      </c>
      <c r="F225" s="284">
        <f>SUM(F219:F224)</f>
        <v>1.5479999999999998</v>
      </c>
      <c r="G225" s="62"/>
      <c r="H225" s="284">
        <f>SUM(H219:H224)</f>
        <v>17.559359999999998</v>
      </c>
      <c r="I225" s="284">
        <f>SUM(I219:I224)</f>
        <v>12.383999999999999</v>
      </c>
      <c r="J225" s="284">
        <f>SUM(J219:J224)</f>
        <v>13.507199999999997</v>
      </c>
      <c r="K225" s="284">
        <f>SUM(K219:K224)</f>
        <v>4.6439999999999992</v>
      </c>
      <c r="L225" s="62"/>
      <c r="M225" s="284">
        <f>SUM(M219:M224)</f>
        <v>18.53436</v>
      </c>
      <c r="N225" s="284">
        <f>SUM(N219:N224)</f>
        <v>12.383999999999999</v>
      </c>
      <c r="O225" s="284">
        <f>SUM(O219:O224)</f>
        <v>14.257199999999997</v>
      </c>
      <c r="P225" s="284">
        <f>SUM(P219:P224)</f>
        <v>4.6439999999999992</v>
      </c>
      <c r="Q225" s="62"/>
      <c r="R225" s="284">
        <f>SUM(R219:R224)</f>
        <v>18.53436</v>
      </c>
      <c r="S225" s="284">
        <f>SUM(S219:S224)</f>
        <v>12.383999999999999</v>
      </c>
      <c r="T225" s="284">
        <f>SUM(T219:T224)</f>
        <v>14.257199999999997</v>
      </c>
      <c r="U225" s="284">
        <f>SUM(U219:U224)</f>
        <v>4.6439999999999992</v>
      </c>
    </row>
    <row r="226" spans="1:21">
      <c r="C226" s="471">
        <f>C225+D225</f>
        <v>25.701839999999997</v>
      </c>
      <c r="D226" s="472"/>
      <c r="E226" s="471">
        <f>E225+F225</f>
        <v>15.364799999999999</v>
      </c>
      <c r="F226" s="472"/>
      <c r="H226" s="471">
        <f>H225+I225</f>
        <v>29.943359999999998</v>
      </c>
      <c r="I226" s="471"/>
      <c r="J226" s="471">
        <f>J225+K225</f>
        <v>18.151199999999996</v>
      </c>
      <c r="K226" s="471"/>
      <c r="L226" s="314"/>
      <c r="M226" s="471">
        <f>M225+N225</f>
        <v>30.91836</v>
      </c>
      <c r="N226" s="471"/>
      <c r="O226" s="471">
        <f>O225+P225</f>
        <v>18.901199999999996</v>
      </c>
      <c r="P226" s="471"/>
      <c r="Q226" s="314"/>
      <c r="R226" s="471">
        <f>R225+S225</f>
        <v>30.91836</v>
      </c>
      <c r="S226" s="471"/>
      <c r="T226" s="471">
        <f>T225+U225</f>
        <v>18.901199999999996</v>
      </c>
      <c r="U226" s="471"/>
    </row>
    <row r="229" spans="1:21">
      <c r="A229" s="272" t="s">
        <v>287</v>
      </c>
      <c r="B229" s="43"/>
      <c r="C229" s="289" t="s">
        <v>293</v>
      </c>
      <c r="H229" s="289" t="s">
        <v>303</v>
      </c>
      <c r="M229" s="289" t="s">
        <v>331</v>
      </c>
      <c r="R229" s="289" t="s">
        <v>330</v>
      </c>
    </row>
    <row r="230" spans="1:21" ht="18.75">
      <c r="A230" s="303" t="s">
        <v>349</v>
      </c>
      <c r="C230" s="285" t="s">
        <v>304</v>
      </c>
      <c r="D230" s="285" t="s">
        <v>305</v>
      </c>
      <c r="E230" s="285" t="s">
        <v>306</v>
      </c>
      <c r="F230" s="286" t="s">
        <v>307</v>
      </c>
      <c r="G230" s="62"/>
      <c r="H230" s="285" t="s">
        <v>304</v>
      </c>
      <c r="I230" s="285" t="s">
        <v>305</v>
      </c>
      <c r="J230" s="285" t="s">
        <v>306</v>
      </c>
      <c r="K230" s="286" t="s">
        <v>307</v>
      </c>
      <c r="L230" s="62"/>
      <c r="M230" s="285" t="s">
        <v>304</v>
      </c>
      <c r="N230" s="285" t="s">
        <v>305</v>
      </c>
      <c r="O230" s="285" t="s">
        <v>306</v>
      </c>
      <c r="P230" s="286" t="s">
        <v>307</v>
      </c>
      <c r="Q230" s="62"/>
      <c r="R230" s="285" t="s">
        <v>304</v>
      </c>
      <c r="S230" s="285" t="s">
        <v>305</v>
      </c>
      <c r="T230" s="285" t="s">
        <v>306</v>
      </c>
      <c r="U230" s="286" t="s">
        <v>307</v>
      </c>
    </row>
    <row r="231" spans="1:21" ht="15.75">
      <c r="A231" s="303"/>
      <c r="C231" s="285"/>
      <c r="D231" s="285"/>
      <c r="E231" s="285"/>
      <c r="F231" s="286"/>
      <c r="G231" s="62"/>
      <c r="H231" s="285"/>
      <c r="I231" s="285"/>
      <c r="J231" s="285"/>
      <c r="K231" s="286"/>
      <c r="L231" s="62"/>
      <c r="M231" s="285"/>
      <c r="N231" s="285"/>
      <c r="O231" s="285"/>
      <c r="P231" s="286"/>
      <c r="Q231" s="62"/>
      <c r="R231" s="285"/>
      <c r="S231" s="285"/>
      <c r="T231" s="285"/>
      <c r="U231" s="286"/>
    </row>
    <row r="232" spans="1:21">
      <c r="A232" s="299" t="s">
        <v>288</v>
      </c>
      <c r="B232" s="304">
        <f>1.2*(4.3/2)+0.5</f>
        <v>3.0799999999999996</v>
      </c>
      <c r="C232" s="304">
        <f>IF(B232="","",B232*'C.U. tab. riassuntiva'!$G$7)</f>
        <v>16.856839999999998</v>
      </c>
      <c r="D232" s="304">
        <f>IF(B232="","",B232*'C.U. tab. riassuntiva'!$H$7)</f>
        <v>9.2399999999999984</v>
      </c>
      <c r="E232" s="304">
        <f>IF(B232="","",B232*'C.U. tab. riassuntiva'!$I$7)</f>
        <v>12.966799999999997</v>
      </c>
      <c r="F232" s="304">
        <f>IF(B232="","",B232*'C.U. tab. riassuntiva'!$J$7)</f>
        <v>1.8479999999999996</v>
      </c>
      <c r="G232" s="23">
        <f>1.2*(4.3/2)+0.5</f>
        <v>3.0799999999999996</v>
      </c>
      <c r="H232" s="304">
        <f>IF(G232="","",G232*'C.U. tab. riassuntiva'!$G$4)</f>
        <v>16.376359999999998</v>
      </c>
      <c r="I232" s="304">
        <f>IF(G232="","",G232*'C.U. tab. riassuntiva'!$H$4)</f>
        <v>14.783999999999997</v>
      </c>
      <c r="J232" s="304">
        <f>IF(G232="","",G232*'C.U. tab. riassuntiva'!$I$4)</f>
        <v>12.597199999999997</v>
      </c>
      <c r="K232" s="304">
        <f>IF(G232="","",G232*'C.U. tab. riassuntiva'!$J$4)</f>
        <v>5.5439999999999987</v>
      </c>
      <c r="L232" s="23">
        <f>1.2*(4.3/2)+0.5</f>
        <v>3.0799999999999996</v>
      </c>
      <c r="M232" s="304">
        <f>IF(L232="","",L232*'C.U. tab. riassuntiva'!$G$4)</f>
        <v>16.376359999999998</v>
      </c>
      <c r="N232" s="304">
        <f>IF(L232="","",L232*'C.U. tab. riassuntiva'!$H$4)</f>
        <v>14.783999999999997</v>
      </c>
      <c r="O232" s="304">
        <f>IF(L232="","",L232*'C.U. tab. riassuntiva'!$I$4)</f>
        <v>12.597199999999997</v>
      </c>
      <c r="P232" s="304">
        <f>IF(L232="","",L232*'C.U. tab. riassuntiva'!$J$4)</f>
        <v>5.5439999999999987</v>
      </c>
      <c r="Q232" s="23">
        <f>1.2*(4.3/2)+0.5</f>
        <v>3.0799999999999996</v>
      </c>
      <c r="R232" s="304">
        <f>IF(Q232="","",Q232*'C.U. tab. riassuntiva'!$G$4)</f>
        <v>16.376359999999998</v>
      </c>
      <c r="S232" s="304">
        <f>IF(Q232="","",Q232*'C.U. tab. riassuntiva'!$H$4)</f>
        <v>14.783999999999997</v>
      </c>
      <c r="T232" s="304">
        <f>IF(Q232="","",Q232*'C.U. tab. riassuntiva'!$I$4)</f>
        <v>12.597199999999997</v>
      </c>
      <c r="U232" s="304">
        <f>IF(Q232="","",Q232*'C.U. tab. riassuntiva'!$J$4)</f>
        <v>5.5439999999999987</v>
      </c>
    </row>
    <row r="233" spans="1:21">
      <c r="A233" s="299" t="s">
        <v>289</v>
      </c>
      <c r="B233" s="305"/>
      <c r="C233" s="304" t="str">
        <f>IF(B233="","",B233*'C.U. tab. riassuntiva'!$G$9)</f>
        <v/>
      </c>
      <c r="D233" s="304" t="str">
        <f>IF(B233="","",B233*'C.U. tab. riassuntiva'!$H$9)</f>
        <v/>
      </c>
      <c r="E233" s="304" t="str">
        <f>IF(B233="","",B233*'C.U. tab. riassuntiva'!$I$9)</f>
        <v/>
      </c>
      <c r="F233" s="304" t="str">
        <f>IF(B233="","",B233*'C.U. tab. riassuntiva'!$J$9)</f>
        <v/>
      </c>
      <c r="G233" s="3"/>
      <c r="H233" s="304" t="str">
        <f>IF(G233="","",G233*'C.U. tab. riassuntiva'!$G$10)</f>
        <v/>
      </c>
      <c r="I233" s="304" t="str">
        <f>IF(G233="","",G233*'C.U. tab. riassuntiva'!$H$10)</f>
        <v/>
      </c>
      <c r="J233" s="304" t="str">
        <f>IF(G233="","",G233*'C.U. tab. riassuntiva'!$I$10)</f>
        <v/>
      </c>
      <c r="K233" s="304" t="str">
        <f>IF(G233="","",G233*'C.U. tab. riassuntiva'!$J$10)</f>
        <v/>
      </c>
      <c r="L233" s="3"/>
      <c r="M233" s="304" t="str">
        <f>IF(L233="","",L233*'C.U. tab. riassuntiva'!$G$10)</f>
        <v/>
      </c>
      <c r="N233" s="304" t="str">
        <f>IF(L233="","",L233*'C.U. tab. riassuntiva'!$H$10)</f>
        <v/>
      </c>
      <c r="O233" s="304" t="str">
        <f>IF(L233="","",L233*'C.U. tab. riassuntiva'!$I$10)</f>
        <v/>
      </c>
      <c r="P233" s="304" t="str">
        <f>IF(L233="","",L233*'C.U. tab. riassuntiva'!$J$10)</f>
        <v/>
      </c>
      <c r="Q233" s="3"/>
      <c r="R233" s="304" t="str">
        <f>IF(Q233="","",Q233*'C.U. tab. riassuntiva'!$G$10)</f>
        <v/>
      </c>
      <c r="S233" s="304" t="str">
        <f>IF(Q233="","",Q233*'C.U. tab. riassuntiva'!$H$10)</f>
        <v/>
      </c>
      <c r="T233" s="304" t="str">
        <f>IF(Q233="","",Q233*'C.U. tab. riassuntiva'!$I$10)</f>
        <v/>
      </c>
      <c r="U233" s="304" t="str">
        <f>IF(Q233="","",Q233*'C.U. tab. riassuntiva'!$J$10)</f>
        <v/>
      </c>
    </row>
    <row r="234" spans="1:21">
      <c r="A234" s="299" t="s">
        <v>290</v>
      </c>
      <c r="B234" s="305"/>
      <c r="C234" s="304" t="str">
        <f>IF(B234="","",B234*'C.U. tab. riassuntiva'!$G$11)</f>
        <v/>
      </c>
      <c r="D234" s="304" t="str">
        <f>IF(B234="","",B234*'C.U. tab. riassuntiva'!$H$11)</f>
        <v/>
      </c>
      <c r="E234" s="304" t="str">
        <f>IF(B234="","",B234*'C.U. tab. riassuntiva'!$I$11)</f>
        <v/>
      </c>
      <c r="F234" s="304" t="str">
        <f>IF(B234="","",B234*'C.U. tab. riassuntiva'!$J$11)</f>
        <v/>
      </c>
      <c r="G234" s="3"/>
      <c r="H234" s="304" t="str">
        <f>IF(G234="","",G234*'C.U. tab. riassuntiva'!$G$11)</f>
        <v/>
      </c>
      <c r="I234" s="304" t="str">
        <f>IF(G234="","",G234*'C.U. tab. riassuntiva'!$H$11)</f>
        <v/>
      </c>
      <c r="J234" s="304" t="str">
        <f>IF(G234="","",G234*'C.U. tab. riassuntiva'!$I$11)</f>
        <v/>
      </c>
      <c r="K234" s="304" t="str">
        <f>IF(G234="","",G234*'C.U. tab. riassuntiva'!$J$11)</f>
        <v/>
      </c>
      <c r="L234" s="3"/>
      <c r="M234" s="304" t="str">
        <f>IF(L234="","",L234*'C.U. tab. riassuntiva'!$G$11)</f>
        <v/>
      </c>
      <c r="N234" s="304" t="str">
        <f>IF(L234="","",L234*'C.U. tab. riassuntiva'!$H$11)</f>
        <v/>
      </c>
      <c r="O234" s="304" t="str">
        <f>IF(L234="","",L234*'C.U. tab. riassuntiva'!$I$11)</f>
        <v/>
      </c>
      <c r="P234" s="304" t="str">
        <f>IF(L234="","",L234*'C.U. tab. riassuntiva'!$J$11)</f>
        <v/>
      </c>
      <c r="Q234" s="3"/>
      <c r="R234" s="304" t="str">
        <f>IF(Q234="","",Q234*'C.U. tab. riassuntiva'!$G$11)</f>
        <v/>
      </c>
      <c r="S234" s="304" t="str">
        <f>IF(Q234="","",Q234*'C.U. tab. riassuntiva'!$H$11)</f>
        <v/>
      </c>
      <c r="T234" s="304" t="str">
        <f>IF(Q234="","",Q234*'C.U. tab. riassuntiva'!$I$11)</f>
        <v/>
      </c>
      <c r="U234" s="304" t="str">
        <f>IF(Q234="","",Q234*'C.U. tab. riassuntiva'!$J$11)</f>
        <v/>
      </c>
    </row>
    <row r="235" spans="1:21">
      <c r="A235" s="299" t="s">
        <v>291</v>
      </c>
      <c r="B235" s="305"/>
      <c r="C235" s="304" t="str">
        <f>IF(B235="","",B235*'C.U. tab. riassuntiva'!$G$12)</f>
        <v/>
      </c>
      <c r="D235" s="304"/>
      <c r="E235" s="304" t="str">
        <f>IF(B235="","",B235*'C.U. tab. riassuntiva'!$I$12)</f>
        <v/>
      </c>
      <c r="F235" s="304"/>
      <c r="G235" s="3"/>
      <c r="H235" s="304" t="str">
        <f>IF(G235="","",G235*'C.U. tab. riassuntiva'!$G$12)</f>
        <v/>
      </c>
      <c r="I235" s="304"/>
      <c r="J235" s="304" t="str">
        <f>IF(G235="","",G235*'C.U. tab. riassuntiva'!$I$12)</f>
        <v/>
      </c>
      <c r="K235" s="304"/>
      <c r="L235" s="3"/>
      <c r="M235" s="304" t="str">
        <f>IF(L235="","",L235*'C.U. tab. riassuntiva'!$G$13)</f>
        <v/>
      </c>
      <c r="N235" s="304"/>
      <c r="O235" s="304" t="str">
        <f>IF(L235="","",L235*'C.U. tab. riassuntiva'!$I$13)</f>
        <v/>
      </c>
      <c r="P235" s="304"/>
      <c r="Q235" s="3"/>
      <c r="R235" s="304" t="str">
        <f>IF(Q235="","",Q235*'C.U. tab. riassuntiva'!$G$13)</f>
        <v/>
      </c>
      <c r="S235" s="304"/>
      <c r="T235" s="304" t="str">
        <f>IF(Q235="","",Q235*'C.U. tab. riassuntiva'!$I$13)</f>
        <v/>
      </c>
      <c r="U235" s="304"/>
    </row>
    <row r="236" spans="1:21">
      <c r="A236" s="299" t="s">
        <v>292</v>
      </c>
      <c r="B236" s="305">
        <v>1</v>
      </c>
      <c r="C236" s="304">
        <f>IF(B236="","",B236*'C.U. tab. riassuntiva'!$G$14)</f>
        <v>3.9715000000000003</v>
      </c>
      <c r="D236" s="304"/>
      <c r="E236" s="304">
        <f>IF(B236="","",B236*'C.U. tab. riassuntiva'!$I$14)</f>
        <v>3.0550000000000002</v>
      </c>
      <c r="F236" s="304"/>
      <c r="G236" s="3">
        <v>1</v>
      </c>
      <c r="H236" s="304">
        <f>IF(G236="","",G236*'C.U. tab. riassuntiva'!$G$14)</f>
        <v>3.9715000000000003</v>
      </c>
      <c r="I236" s="304"/>
      <c r="J236" s="304">
        <f>IF(G236="","",G236*'C.U. tab. riassuntiva'!$I$14)</f>
        <v>3.0550000000000002</v>
      </c>
      <c r="K236" s="304"/>
      <c r="L236" s="3">
        <v>1</v>
      </c>
      <c r="M236" s="304">
        <f>IF(L236="","",L236*'C.U. tab. riassuntiva'!$G$14)</f>
        <v>3.9715000000000003</v>
      </c>
      <c r="N236" s="304"/>
      <c r="O236" s="304">
        <f>IF(L236="","",L236*'C.U. tab. riassuntiva'!$I$14)</f>
        <v>3.0550000000000002</v>
      </c>
      <c r="P236" s="304"/>
      <c r="Q236" s="3">
        <v>1</v>
      </c>
      <c r="R236" s="304">
        <f>IF(Q236="","",Q236*'C.U. tab. riassuntiva'!$G$14)</f>
        <v>3.9715000000000003</v>
      </c>
      <c r="S236" s="304"/>
      <c r="T236" s="304">
        <f>IF(Q236="","",Q236*'C.U. tab. riassuntiva'!$I$14)</f>
        <v>3.0550000000000002</v>
      </c>
      <c r="U236" s="304"/>
    </row>
    <row r="237" spans="1:21">
      <c r="A237" s="299" t="s">
        <v>15</v>
      </c>
      <c r="B237" s="305"/>
      <c r="C237" s="77" t="str">
        <f>IF(B237="","",B237*'C.U. tab. riassuntiva'!$G$16)</f>
        <v/>
      </c>
      <c r="D237" s="77"/>
      <c r="E237" s="77" t="str">
        <f>IF(B237="","",B237*'C.U. tab. riassuntiva'!$I$16)</f>
        <v/>
      </c>
      <c r="F237" s="77"/>
      <c r="G237" s="3"/>
      <c r="H237" s="77" t="str">
        <f>IF(G237="","",G237*'C.U. tab. riassuntiva'!$G$16)</f>
        <v/>
      </c>
      <c r="I237" s="77"/>
      <c r="J237" s="77" t="str">
        <f>IF(G237="","",G237*'C.U. tab. riassuntiva'!$I$16)</f>
        <v/>
      </c>
      <c r="K237" s="77"/>
      <c r="L237" s="3"/>
      <c r="M237" s="77" t="str">
        <f>IF(L237="","",L237*'C.U. tab. riassuntiva'!$G$16)</f>
        <v/>
      </c>
      <c r="N237" s="77"/>
      <c r="O237" s="77" t="str">
        <f>IF(L237="","",L237*'C.U. tab. riassuntiva'!$I$16)</f>
        <v/>
      </c>
      <c r="P237" s="77"/>
      <c r="Q237" s="3"/>
      <c r="R237" s="77" t="str">
        <f>IF(Q237="","",Q237*'C.U. tab. riassuntiva'!$G$16)</f>
        <v/>
      </c>
      <c r="S237" s="77"/>
      <c r="T237" s="77" t="str">
        <f>IF(Q237="","",Q237*'C.U. tab. riassuntiva'!$I$16)</f>
        <v/>
      </c>
      <c r="U237" s="77"/>
    </row>
    <row r="238" spans="1:21">
      <c r="A238" s="299"/>
      <c r="C238" s="284">
        <f>SUM(C232:C237)</f>
        <v>20.828339999999997</v>
      </c>
      <c r="D238" s="284">
        <f>SUM(D232:D237)</f>
        <v>9.2399999999999984</v>
      </c>
      <c r="E238" s="284">
        <f>SUM(E232:E237)</f>
        <v>16.021799999999999</v>
      </c>
      <c r="F238" s="284">
        <f>SUM(F232:F237)</f>
        <v>1.8479999999999996</v>
      </c>
      <c r="G238" s="62"/>
      <c r="H238" s="284">
        <f>SUM(H232:H237)</f>
        <v>20.347859999999997</v>
      </c>
      <c r="I238" s="284">
        <f>SUM(I232:I237)</f>
        <v>14.783999999999997</v>
      </c>
      <c r="J238" s="284">
        <f>SUM(J232:J237)</f>
        <v>15.652199999999997</v>
      </c>
      <c r="K238" s="284">
        <f>SUM(K232:K237)</f>
        <v>5.5439999999999987</v>
      </c>
      <c r="L238" s="62"/>
      <c r="M238" s="284">
        <f>SUM(M232:M237)</f>
        <v>20.347859999999997</v>
      </c>
      <c r="N238" s="284">
        <f>SUM(N232:N237)</f>
        <v>14.783999999999997</v>
      </c>
      <c r="O238" s="284">
        <f>SUM(O232:O237)</f>
        <v>15.652199999999997</v>
      </c>
      <c r="P238" s="284">
        <f>SUM(P232:P237)</f>
        <v>5.5439999999999987</v>
      </c>
      <c r="Q238" s="62"/>
      <c r="R238" s="284">
        <f>SUM(R232:R237)</f>
        <v>20.347859999999997</v>
      </c>
      <c r="S238" s="284">
        <f>SUM(S232:S237)</f>
        <v>14.783999999999997</v>
      </c>
      <c r="T238" s="284">
        <f>SUM(T232:T237)</f>
        <v>15.652199999999997</v>
      </c>
      <c r="U238" s="284">
        <f>SUM(U232:U237)</f>
        <v>5.5439999999999987</v>
      </c>
    </row>
    <row r="239" spans="1:21">
      <c r="C239" s="471">
        <f>C238+D238</f>
        <v>30.068339999999996</v>
      </c>
      <c r="D239" s="472"/>
      <c r="E239" s="471">
        <f>E238+F238</f>
        <v>17.869799999999998</v>
      </c>
      <c r="F239" s="472"/>
      <c r="H239" s="471">
        <f>H238+I238</f>
        <v>35.131859999999996</v>
      </c>
      <c r="I239" s="471"/>
      <c r="J239" s="471">
        <f>J238+K238</f>
        <v>21.196199999999997</v>
      </c>
      <c r="K239" s="471"/>
      <c r="L239" s="314"/>
      <c r="M239" s="471">
        <f>M238+N238</f>
        <v>35.131859999999996</v>
      </c>
      <c r="N239" s="471"/>
      <c r="O239" s="471">
        <f>O238+P238</f>
        <v>21.196199999999997</v>
      </c>
      <c r="P239" s="471"/>
      <c r="Q239" s="314"/>
      <c r="R239" s="471">
        <f>R238+S238</f>
        <v>35.131859999999996</v>
      </c>
      <c r="S239" s="471"/>
      <c r="T239" s="471">
        <f>T238+U238</f>
        <v>21.196199999999997</v>
      </c>
      <c r="U239" s="471"/>
    </row>
    <row r="241" spans="1:21">
      <c r="A241" s="272" t="s">
        <v>287</v>
      </c>
      <c r="B241" s="43"/>
      <c r="C241" s="289" t="s">
        <v>293</v>
      </c>
      <c r="H241" s="289" t="s">
        <v>303</v>
      </c>
      <c r="M241" s="289" t="s">
        <v>331</v>
      </c>
      <c r="R241" s="289" t="s">
        <v>330</v>
      </c>
    </row>
    <row r="242" spans="1:21" ht="18.75">
      <c r="A242" s="303" t="s">
        <v>350</v>
      </c>
      <c r="C242" s="285" t="s">
        <v>304</v>
      </c>
      <c r="D242" s="285" t="s">
        <v>305</v>
      </c>
      <c r="E242" s="285" t="s">
        <v>306</v>
      </c>
      <c r="F242" s="286" t="s">
        <v>307</v>
      </c>
      <c r="G242" s="62"/>
      <c r="H242" s="285" t="s">
        <v>304</v>
      </c>
      <c r="I242" s="285" t="s">
        <v>305</v>
      </c>
      <c r="J242" s="285" t="s">
        <v>306</v>
      </c>
      <c r="K242" s="286" t="s">
        <v>307</v>
      </c>
      <c r="L242" s="62"/>
      <c r="M242" s="285" t="s">
        <v>304</v>
      </c>
      <c r="N242" s="285" t="s">
        <v>305</v>
      </c>
      <c r="O242" s="285" t="s">
        <v>306</v>
      </c>
      <c r="P242" s="286" t="s">
        <v>307</v>
      </c>
      <c r="Q242" s="62"/>
      <c r="R242" s="285" t="s">
        <v>304</v>
      </c>
      <c r="S242" s="285" t="s">
        <v>305</v>
      </c>
      <c r="T242" s="285" t="s">
        <v>306</v>
      </c>
      <c r="U242" s="286" t="s">
        <v>307</v>
      </c>
    </row>
    <row r="243" spans="1:21" ht="15.75">
      <c r="A243" s="303"/>
      <c r="C243" s="285"/>
      <c r="D243" s="285"/>
      <c r="E243" s="285"/>
      <c r="F243" s="286"/>
      <c r="G243" s="62"/>
      <c r="L243" s="62"/>
      <c r="Q243" s="62"/>
    </row>
    <row r="244" spans="1:21">
      <c r="A244" s="299" t="s">
        <v>288</v>
      </c>
      <c r="B244" s="304">
        <v>1</v>
      </c>
      <c r="C244" s="304">
        <f>IF(B244="","",B244*'C.U. tab. riassuntiva'!$G$7)</f>
        <v>5.4729999999999999</v>
      </c>
      <c r="D244" s="304">
        <f>IF(B244="","",B244*'C.U. tab. riassuntiva'!$H$7)</f>
        <v>3</v>
      </c>
      <c r="E244" s="304">
        <f>IF(B244="","",B244*'C.U. tab. riassuntiva'!$I$7)</f>
        <v>4.21</v>
      </c>
      <c r="F244" s="304">
        <f>IF(B244="","",B244*'C.U. tab. riassuntiva'!$J$7)</f>
        <v>0.6</v>
      </c>
      <c r="G244" s="3">
        <v>1</v>
      </c>
      <c r="H244" s="324">
        <f>IF(G244="","",G244*'C.U. tab. riassuntiva'!$G$4)</f>
        <v>5.3170000000000002</v>
      </c>
      <c r="I244" s="324">
        <f>IF(G244="","",G244*'C.U. tab. riassuntiva'!$H$4)</f>
        <v>4.8</v>
      </c>
      <c r="J244" s="324">
        <f>IF(G244="","",G244*'C.U. tab. riassuntiva'!$I$4)</f>
        <v>4.09</v>
      </c>
      <c r="K244" s="324">
        <f>IF(G244="","",G244*'C.U. tab. riassuntiva'!$J$4)</f>
        <v>1.7999999999999998</v>
      </c>
      <c r="L244" s="3">
        <v>1</v>
      </c>
      <c r="M244" s="324">
        <f>IF(L244="","",L244*'C.U. tab. riassuntiva'!$G$4)</f>
        <v>5.3170000000000002</v>
      </c>
      <c r="N244" s="324">
        <f>IF(L244="","",L244*'C.U. tab. riassuntiva'!$H$4)</f>
        <v>4.8</v>
      </c>
      <c r="O244" s="324">
        <f>IF(L244="","",L244*'C.U. tab. riassuntiva'!$I$4)</f>
        <v>4.09</v>
      </c>
      <c r="P244" s="324">
        <f>IF(L244="","",L244*'C.U. tab. riassuntiva'!$J$4)</f>
        <v>1.7999999999999998</v>
      </c>
      <c r="Q244" s="3">
        <v>1</v>
      </c>
      <c r="R244" s="324">
        <f>IF(Q244="","",Q244*'C.U. tab. riassuntiva'!$G$4)</f>
        <v>5.3170000000000002</v>
      </c>
      <c r="S244" s="324">
        <f>IF(Q244="","",Q244*'C.U. tab. riassuntiva'!$H$4)</f>
        <v>4.8</v>
      </c>
      <c r="T244" s="324">
        <f>IF(Q244="","",Q244*'C.U. tab. riassuntiva'!$I$4)</f>
        <v>4.09</v>
      </c>
      <c r="U244" s="324">
        <f>IF(Q244="","",Q244*'C.U. tab. riassuntiva'!$J$4)</f>
        <v>1.7999999999999998</v>
      </c>
    </row>
    <row r="245" spans="1:21">
      <c r="A245" s="299" t="s">
        <v>289</v>
      </c>
      <c r="B245" s="305"/>
      <c r="C245" s="304" t="str">
        <f>IF(B245="","",B245*'C.U. tab. riassuntiva'!$G$9)</f>
        <v/>
      </c>
      <c r="D245" s="304" t="str">
        <f>IF(B245="","",B245*'C.U. tab. riassuntiva'!$H$9)</f>
        <v/>
      </c>
      <c r="E245" s="304" t="str">
        <f>IF(B245="","",B245*'C.U. tab. riassuntiva'!$I$9)</f>
        <v/>
      </c>
      <c r="F245" s="304" t="str">
        <f>IF(B245="","",B245*'C.U. tab. riassuntiva'!$J$9)</f>
        <v/>
      </c>
      <c r="G245" s="23"/>
      <c r="H245" s="324" t="str">
        <f>IF(G245="","",G245*'C.U. tab. riassuntiva'!$G$10)</f>
        <v/>
      </c>
      <c r="I245" s="324" t="str">
        <f>IF(G245="","",G245*'C.U. tab. riassuntiva'!$H$10)</f>
        <v/>
      </c>
      <c r="J245" s="324" t="str">
        <f>IF(G245="","",G245*'C.U. tab. riassuntiva'!$I$10)</f>
        <v/>
      </c>
      <c r="K245" s="324" t="str">
        <f>IF(G245="","",G245*'C.U. tab. riassuntiva'!$J$10)</f>
        <v/>
      </c>
      <c r="L245" s="23"/>
      <c r="M245" s="324" t="str">
        <f>IF(L245="","",L245*'C.U. tab. riassuntiva'!$G$10)</f>
        <v/>
      </c>
      <c r="N245" s="324" t="str">
        <f>IF(L245="","",L245*'C.U. tab. riassuntiva'!$H$10)</f>
        <v/>
      </c>
      <c r="O245" s="324" t="str">
        <f>IF(L245="","",L245*'C.U. tab. riassuntiva'!$I$10)</f>
        <v/>
      </c>
      <c r="P245" s="324" t="str">
        <f>IF(L245="","",L245*'C.U. tab. riassuntiva'!$J$10)</f>
        <v/>
      </c>
      <c r="Q245" s="23"/>
      <c r="R245" s="324" t="str">
        <f>IF(Q245="","",Q245*'C.U. tab. riassuntiva'!$G$10)</f>
        <v/>
      </c>
      <c r="S245" s="324" t="str">
        <f>IF(Q245="","",Q245*'C.U. tab. riassuntiva'!$H$10)</f>
        <v/>
      </c>
      <c r="T245" s="324" t="str">
        <f>IF(Q245="","",Q245*'C.U. tab. riassuntiva'!$I$10)</f>
        <v/>
      </c>
      <c r="U245" s="324" t="str">
        <f>IF(Q245="","",Q245*'C.U. tab. riassuntiva'!$J$10)</f>
        <v/>
      </c>
    </row>
    <row r="246" spans="1:21">
      <c r="A246" s="299" t="s">
        <v>290</v>
      </c>
      <c r="B246" s="305"/>
      <c r="C246" s="304" t="str">
        <f>IF(B246="","",B246*'C.U. tab. riassuntiva'!$G$11)</f>
        <v/>
      </c>
      <c r="D246" s="304" t="str">
        <f>IF(B246="","",B246*'C.U. tab. riassuntiva'!$H$11)</f>
        <v/>
      </c>
      <c r="E246" s="304" t="str">
        <f>IF(B246="","",B246*'C.U. tab. riassuntiva'!$I$11)</f>
        <v/>
      </c>
      <c r="F246" s="304" t="str">
        <f>IF(B246="","",B246*'C.U. tab. riassuntiva'!$J$11)</f>
        <v/>
      </c>
      <c r="G246" s="3"/>
      <c r="H246" s="324" t="str">
        <f>IF(G246="","",G246*'C.U. tab. riassuntiva'!$G$11)</f>
        <v/>
      </c>
      <c r="I246" s="324" t="str">
        <f>IF(G246="","",G246*'C.U. tab. riassuntiva'!$H$11)</f>
        <v/>
      </c>
      <c r="J246" s="324" t="str">
        <f>IF(G246="","",G246*'C.U. tab. riassuntiva'!$I$11)</f>
        <v/>
      </c>
      <c r="K246" s="324" t="str">
        <f>IF(G246="","",G246*'C.U. tab. riassuntiva'!$J$11)</f>
        <v/>
      </c>
      <c r="L246" s="3"/>
      <c r="M246" s="324" t="str">
        <f>IF(L246="","",L246*'C.U. tab. riassuntiva'!$G$11)</f>
        <v/>
      </c>
      <c r="N246" s="324" t="str">
        <f>IF(L246="","",L246*'C.U. tab. riassuntiva'!$H$11)</f>
        <v/>
      </c>
      <c r="O246" s="324" t="str">
        <f>IF(L246="","",L246*'C.U. tab. riassuntiva'!$I$11)</f>
        <v/>
      </c>
      <c r="P246" s="324" t="str">
        <f>IF(L246="","",L246*'C.U. tab. riassuntiva'!$J$11)</f>
        <v/>
      </c>
      <c r="Q246" s="3"/>
      <c r="R246" s="324" t="str">
        <f>IF(Q246="","",Q246*'C.U. tab. riassuntiva'!$G$11)</f>
        <v/>
      </c>
      <c r="S246" s="324" t="str">
        <f>IF(Q246="","",Q246*'C.U. tab. riassuntiva'!$H$11)</f>
        <v/>
      </c>
      <c r="T246" s="324" t="str">
        <f>IF(Q246="","",Q246*'C.U. tab. riassuntiva'!$I$11)</f>
        <v/>
      </c>
      <c r="U246" s="324" t="str">
        <f>IF(Q246="","",Q246*'C.U. tab. riassuntiva'!$J$11)</f>
        <v/>
      </c>
    </row>
    <row r="247" spans="1:21">
      <c r="A247" s="299" t="s">
        <v>291</v>
      </c>
      <c r="B247" s="305">
        <v>1</v>
      </c>
      <c r="C247" s="304">
        <f>IF(B247="","",B247*'C.U. tab. riassuntiva'!$G$12)</f>
        <v>3.8415000000000004</v>
      </c>
      <c r="D247" s="304"/>
      <c r="E247" s="304">
        <f>IF(B247="","",B247*'C.U. tab. riassuntiva'!$I$12)</f>
        <v>2.9550000000000001</v>
      </c>
      <c r="F247" s="304"/>
      <c r="G247" s="3">
        <v>1</v>
      </c>
      <c r="H247" s="324">
        <f>IF(G247="","",G247*'C.U. tab. riassuntiva'!$G$12)</f>
        <v>3.8415000000000004</v>
      </c>
      <c r="I247" s="324"/>
      <c r="J247" s="324">
        <f>IF(G247="","",G247*'C.U. tab. riassuntiva'!$I$12)</f>
        <v>2.9550000000000001</v>
      </c>
      <c r="K247" s="324"/>
      <c r="L247" s="3">
        <v>1</v>
      </c>
      <c r="M247" s="324">
        <f>IF(L247="","",L247*'C.U. tab. riassuntiva'!$G$13)</f>
        <v>4.8165000000000004</v>
      </c>
      <c r="N247" s="324"/>
      <c r="O247" s="324">
        <f>IF(L247="","",L247*'C.U. tab. riassuntiva'!$I$13)</f>
        <v>3.7050000000000001</v>
      </c>
      <c r="P247" s="324"/>
      <c r="Q247" s="3">
        <v>1</v>
      </c>
      <c r="R247" s="324">
        <f>IF(Q247="","",Q247*'C.U. tab. riassuntiva'!$G$13)</f>
        <v>4.8165000000000004</v>
      </c>
      <c r="S247" s="324"/>
      <c r="T247" s="324">
        <f>IF(Q247="","",Q247*'C.U. tab. riassuntiva'!$I$13)</f>
        <v>3.7050000000000001</v>
      </c>
      <c r="U247" s="324"/>
    </row>
    <row r="248" spans="1:21">
      <c r="A248" s="299" t="s">
        <v>292</v>
      </c>
      <c r="B248" s="305"/>
      <c r="C248" s="304" t="str">
        <f>IF(B248="","",B248*'C.U. tab. riassuntiva'!$G$14)</f>
        <v/>
      </c>
      <c r="D248" s="304"/>
      <c r="E248" s="304" t="str">
        <f>IF(B248="","",B248*'C.U. tab. riassuntiva'!$I$14)</f>
        <v/>
      </c>
      <c r="F248" s="304"/>
      <c r="G248" s="3"/>
      <c r="H248" s="324" t="str">
        <f>IF(G248="","",G248*'C.U. tab. riassuntiva'!$G$14)</f>
        <v/>
      </c>
      <c r="I248" s="324"/>
      <c r="J248" s="324" t="str">
        <f>IF(G248="","",G248*'C.U. tab. riassuntiva'!$I$14)</f>
        <v/>
      </c>
      <c r="K248" s="324"/>
      <c r="L248" s="3"/>
      <c r="M248" s="324" t="str">
        <f>IF(L248="","",L248*'C.U. tab. riassuntiva'!$G$14)</f>
        <v/>
      </c>
      <c r="N248" s="324"/>
      <c r="O248" s="324" t="str">
        <f>IF(L248="","",L248*'C.U. tab. riassuntiva'!$I$14)</f>
        <v/>
      </c>
      <c r="P248" s="324"/>
      <c r="Q248" s="3"/>
      <c r="R248" s="324" t="str">
        <f>IF(Q248="","",Q248*'C.U. tab. riassuntiva'!$G$14)</f>
        <v/>
      </c>
      <c r="S248" s="324"/>
      <c r="T248" s="324" t="str">
        <f>IF(Q248="","",Q248*'C.U. tab. riassuntiva'!$I$14)</f>
        <v/>
      </c>
      <c r="U248" s="324"/>
    </row>
    <row r="249" spans="1:21">
      <c r="A249" s="299" t="s">
        <v>15</v>
      </c>
      <c r="B249" s="305"/>
      <c r="C249" s="77" t="str">
        <f>IF(B249="","",B249*'C.U. tab. riassuntiva'!$G$16)</f>
        <v/>
      </c>
      <c r="D249" s="77"/>
      <c r="E249" s="77" t="str">
        <f>IF(B249="","",B249*'C.U. tab. riassuntiva'!$I$16)</f>
        <v/>
      </c>
      <c r="F249" s="77"/>
      <c r="G249" s="3"/>
      <c r="H249" s="77" t="str">
        <f>IF(G249="","",G249*'C.U. tab. riassuntiva'!$G$16)</f>
        <v/>
      </c>
      <c r="I249" s="77"/>
      <c r="J249" s="77" t="str">
        <f>IF(G249="","",G249*'C.U. tab. riassuntiva'!$I$16)</f>
        <v/>
      </c>
      <c r="K249" s="77"/>
      <c r="L249" s="3"/>
      <c r="M249" s="77" t="str">
        <f>IF(L249="","",L249*'C.U. tab. riassuntiva'!$G$16)</f>
        <v/>
      </c>
      <c r="N249" s="77"/>
      <c r="O249" s="77" t="str">
        <f>IF(L249="","",L249*'C.U. tab. riassuntiva'!$I$16)</f>
        <v/>
      </c>
      <c r="P249" s="77"/>
      <c r="Q249" s="3"/>
      <c r="R249" s="77" t="str">
        <f>IF(Q249="","",Q249*'C.U. tab. riassuntiva'!$G$16)</f>
        <v/>
      </c>
      <c r="S249" s="77"/>
      <c r="T249" s="77" t="str">
        <f>IF(Q249="","",Q249*'C.U. tab. riassuntiva'!$I$16)</f>
        <v/>
      </c>
      <c r="U249" s="77"/>
    </row>
    <row r="250" spans="1:21">
      <c r="A250" s="299"/>
      <c r="C250" s="284">
        <f>SUM(C244:C249)</f>
        <v>9.3145000000000007</v>
      </c>
      <c r="D250" s="284">
        <f>SUM(D244:D249)</f>
        <v>3</v>
      </c>
      <c r="E250" s="284">
        <f>SUM(E244:E249)</f>
        <v>7.165</v>
      </c>
      <c r="F250" s="284">
        <f>SUM(F244:F249)</f>
        <v>0.6</v>
      </c>
      <c r="G250" s="3"/>
      <c r="H250" s="284">
        <f>SUM(H244:H249)</f>
        <v>9.1585000000000001</v>
      </c>
      <c r="I250" s="284">
        <f>SUM(I244:I249)</f>
        <v>4.8</v>
      </c>
      <c r="J250" s="284">
        <f>SUM(J244:J249)</f>
        <v>7.0449999999999999</v>
      </c>
      <c r="K250" s="284">
        <f>SUM(K244:K249)</f>
        <v>1.7999999999999998</v>
      </c>
      <c r="L250" s="62"/>
      <c r="M250" s="284">
        <f>SUM(M244:M249)</f>
        <v>10.133500000000002</v>
      </c>
      <c r="N250" s="284">
        <f>SUM(N244:N249)</f>
        <v>4.8</v>
      </c>
      <c r="O250" s="284">
        <f>SUM(O244:O249)</f>
        <v>7.7949999999999999</v>
      </c>
      <c r="P250" s="284">
        <f>SUM(P244:P249)</f>
        <v>1.7999999999999998</v>
      </c>
      <c r="Q250" s="62"/>
      <c r="R250" s="284">
        <f>SUM(R244:R249)</f>
        <v>10.133500000000002</v>
      </c>
      <c r="S250" s="284">
        <f>SUM(S244:S249)</f>
        <v>4.8</v>
      </c>
      <c r="T250" s="284">
        <f>SUM(T244:T249)</f>
        <v>7.7949999999999999</v>
      </c>
      <c r="U250" s="284">
        <f>SUM(U244:U249)</f>
        <v>1.7999999999999998</v>
      </c>
    </row>
    <row r="251" spans="1:21">
      <c r="C251" s="471">
        <f>C250+D250</f>
        <v>12.314500000000001</v>
      </c>
      <c r="D251" s="472"/>
      <c r="E251" s="471">
        <f>E250+F250</f>
        <v>7.7649999999999997</v>
      </c>
      <c r="F251" s="472"/>
      <c r="G251" s="62"/>
      <c r="H251" s="471">
        <f>H250+I250</f>
        <v>13.958500000000001</v>
      </c>
      <c r="I251" s="472"/>
      <c r="J251" s="471">
        <f>J250+K250</f>
        <v>8.8449999999999989</v>
      </c>
      <c r="K251" s="472"/>
      <c r="L251" s="314"/>
      <c r="M251" s="471">
        <f>M250+N250</f>
        <v>14.933500000000002</v>
      </c>
      <c r="N251" s="472"/>
      <c r="O251" s="471">
        <f>O250+P250</f>
        <v>9.5949999999999989</v>
      </c>
      <c r="P251" s="472"/>
      <c r="Q251" s="314"/>
      <c r="R251" s="471">
        <f>R250+S250</f>
        <v>14.933500000000002</v>
      </c>
      <c r="S251" s="471"/>
      <c r="T251" s="471">
        <f>T250+U250</f>
        <v>9.5949999999999989</v>
      </c>
      <c r="U251" s="471"/>
    </row>
    <row r="253" spans="1:21">
      <c r="A253" s="316" t="s">
        <v>239</v>
      </c>
    </row>
    <row r="254" spans="1:21">
      <c r="A254" s="272" t="s">
        <v>287</v>
      </c>
      <c r="B254" s="43"/>
      <c r="C254" s="289" t="s">
        <v>293</v>
      </c>
      <c r="H254" s="289" t="s">
        <v>303</v>
      </c>
      <c r="M254" s="289" t="s">
        <v>331</v>
      </c>
      <c r="R254" s="289" t="s">
        <v>330</v>
      </c>
    </row>
    <row r="255" spans="1:21" ht="18.75">
      <c r="A255" s="303" t="s">
        <v>353</v>
      </c>
      <c r="C255" s="285" t="s">
        <v>304</v>
      </c>
      <c r="D255" s="285" t="s">
        <v>305</v>
      </c>
      <c r="E255" s="285" t="s">
        <v>306</v>
      </c>
      <c r="F255" s="286" t="s">
        <v>307</v>
      </c>
      <c r="G255" s="62"/>
      <c r="H255" s="285" t="s">
        <v>304</v>
      </c>
      <c r="I255" s="285" t="s">
        <v>305</v>
      </c>
      <c r="J255" s="285" t="s">
        <v>306</v>
      </c>
      <c r="K255" s="286" t="s">
        <v>307</v>
      </c>
      <c r="L255" s="62"/>
      <c r="M255" s="285" t="s">
        <v>304</v>
      </c>
      <c r="N255" s="285" t="s">
        <v>305</v>
      </c>
      <c r="O255" s="285" t="s">
        <v>306</v>
      </c>
      <c r="P255" s="286" t="s">
        <v>307</v>
      </c>
      <c r="Q255" s="62"/>
      <c r="R255" s="285" t="s">
        <v>304</v>
      </c>
      <c r="S255" s="285" t="s">
        <v>305</v>
      </c>
      <c r="T255" s="285" t="s">
        <v>306</v>
      </c>
      <c r="U255" s="286" t="s">
        <v>307</v>
      </c>
    </row>
    <row r="256" spans="1:21" ht="15.75">
      <c r="A256" s="303"/>
      <c r="C256" s="285"/>
      <c r="D256" s="285"/>
      <c r="E256" s="285"/>
      <c r="F256" s="286"/>
      <c r="G256" s="62"/>
      <c r="L256" s="62"/>
      <c r="Q256" s="62"/>
    </row>
    <row r="257" spans="1:21">
      <c r="A257" s="299" t="s">
        <v>288</v>
      </c>
      <c r="B257" s="304">
        <v>1</v>
      </c>
      <c r="C257" s="304">
        <f>IF(B257="","",B257*'C.U. tab. riassuntiva'!$G$7)</f>
        <v>5.4729999999999999</v>
      </c>
      <c r="D257" s="304">
        <f>IF(B257="","",B257*'C.U. tab. riassuntiva'!$H$7)</f>
        <v>3</v>
      </c>
      <c r="E257" s="304">
        <f>IF(B257="","",B257*'C.U. tab. riassuntiva'!$I$7)</f>
        <v>4.21</v>
      </c>
      <c r="F257" s="304">
        <f>IF(B257="","",B257*'C.U. tab. riassuntiva'!$J$7)</f>
        <v>0.6</v>
      </c>
      <c r="G257" s="3">
        <v>1</v>
      </c>
      <c r="H257" s="324">
        <f>IF(G257="","",G257*'C.U. tab. riassuntiva'!$G$4)</f>
        <v>5.3170000000000002</v>
      </c>
      <c r="I257" s="324">
        <f>IF(G257="","",G257*'C.U. tab. riassuntiva'!$H$4)</f>
        <v>4.8</v>
      </c>
      <c r="J257" s="324">
        <f>IF(G257="","",G257*'C.U. tab. riassuntiva'!$I$4)</f>
        <v>4.09</v>
      </c>
      <c r="K257" s="324">
        <f>IF(G257="","",G257*'C.U. tab. riassuntiva'!$J$4)</f>
        <v>1.7999999999999998</v>
      </c>
      <c r="L257" s="3">
        <v>1</v>
      </c>
      <c r="M257" s="324">
        <f>IF(L257="","",L257*'C.U. tab. riassuntiva'!$G$4)</f>
        <v>5.3170000000000002</v>
      </c>
      <c r="N257" s="324">
        <f>IF(L257="","",L257*'C.U. tab. riassuntiva'!$H$4)</f>
        <v>4.8</v>
      </c>
      <c r="O257" s="324">
        <f>IF(L257="","",L257*'C.U. tab. riassuntiva'!$I$4)</f>
        <v>4.09</v>
      </c>
      <c r="P257" s="324">
        <f>IF(L257="","",L257*'C.U. tab. riassuntiva'!$J$4)</f>
        <v>1.7999999999999998</v>
      </c>
      <c r="Q257" s="3">
        <v>1</v>
      </c>
      <c r="R257" s="324">
        <f>IF(Q257="","",Q257*'C.U. tab. riassuntiva'!$G$4)</f>
        <v>5.3170000000000002</v>
      </c>
      <c r="S257" s="324">
        <f>IF(Q257="","",Q257*'C.U. tab. riassuntiva'!$H$4)</f>
        <v>4.8</v>
      </c>
      <c r="T257" s="324">
        <f>IF(Q257="","",Q257*'C.U. tab. riassuntiva'!$I$4)</f>
        <v>4.09</v>
      </c>
      <c r="U257" s="324">
        <f>IF(Q257="","",Q257*'C.U. tab. riassuntiva'!$J$4)</f>
        <v>1.7999999999999998</v>
      </c>
    </row>
    <row r="258" spans="1:21">
      <c r="A258" s="299" t="s">
        <v>289</v>
      </c>
      <c r="B258" s="305"/>
      <c r="C258" s="304" t="str">
        <f>IF(B258="","",B258*'C.U. tab. riassuntiva'!$G$9)</f>
        <v/>
      </c>
      <c r="D258" s="304" t="str">
        <f>IF(B258="","",B258*'C.U. tab. riassuntiva'!$H$9)</f>
        <v/>
      </c>
      <c r="E258" s="304" t="str">
        <f>IF(B258="","",B258*'C.U. tab. riassuntiva'!$I$9)</f>
        <v/>
      </c>
      <c r="F258" s="304" t="str">
        <f>IF(B258="","",B258*'C.U. tab. riassuntiva'!$J$9)</f>
        <v/>
      </c>
      <c r="G258" s="23"/>
      <c r="H258" s="324" t="str">
        <f>IF(G258="","",G258*'C.U. tab. riassuntiva'!$G$10)</f>
        <v/>
      </c>
      <c r="I258" s="324" t="str">
        <f>IF(G258="","",G258*'C.U. tab. riassuntiva'!$H$10)</f>
        <v/>
      </c>
      <c r="J258" s="324" t="str">
        <f>IF(G258="","",G258*'C.U. tab. riassuntiva'!$I$10)</f>
        <v/>
      </c>
      <c r="K258" s="324" t="str">
        <f>IF(G258="","",G258*'C.U. tab. riassuntiva'!$J$10)</f>
        <v/>
      </c>
      <c r="L258" s="23"/>
      <c r="M258" s="324" t="str">
        <f>IF(L258="","",L258*'C.U. tab. riassuntiva'!$G$10)</f>
        <v/>
      </c>
      <c r="N258" s="324" t="str">
        <f>IF(L258="","",L258*'C.U. tab. riassuntiva'!$H$10)</f>
        <v/>
      </c>
      <c r="O258" s="324" t="str">
        <f>IF(L258="","",L258*'C.U. tab. riassuntiva'!$I$10)</f>
        <v/>
      </c>
      <c r="P258" s="324" t="str">
        <f>IF(L258="","",L258*'C.U. tab. riassuntiva'!$J$10)</f>
        <v/>
      </c>
      <c r="Q258" s="23"/>
      <c r="R258" s="324" t="str">
        <f>IF(Q258="","",Q258*'C.U. tab. riassuntiva'!$G$10)</f>
        <v/>
      </c>
      <c r="S258" s="324" t="str">
        <f>IF(Q258="","",Q258*'C.U. tab. riassuntiva'!$H$10)</f>
        <v/>
      </c>
      <c r="T258" s="324" t="str">
        <f>IF(Q258="","",Q258*'C.U. tab. riassuntiva'!$I$10)</f>
        <v/>
      </c>
      <c r="U258" s="324" t="str">
        <f>IF(Q258="","",Q258*'C.U. tab. riassuntiva'!$J$10)</f>
        <v/>
      </c>
    </row>
    <row r="259" spans="1:21">
      <c r="A259" s="299" t="s">
        <v>290</v>
      </c>
      <c r="B259" s="305"/>
      <c r="C259" s="304" t="str">
        <f>IF(B259="","",B259*'C.U. tab. riassuntiva'!$G$11)</f>
        <v/>
      </c>
      <c r="D259" s="304" t="str">
        <f>IF(B259="","",B259*'C.U. tab. riassuntiva'!$H$11)</f>
        <v/>
      </c>
      <c r="E259" s="304" t="str">
        <f>IF(B259="","",B259*'C.U. tab. riassuntiva'!$I$11)</f>
        <v/>
      </c>
      <c r="F259" s="304" t="str">
        <f>IF(B259="","",B259*'C.U. tab. riassuntiva'!$J$11)</f>
        <v/>
      </c>
      <c r="G259" s="3"/>
      <c r="H259" s="324" t="str">
        <f>IF(G259="","",G259*'C.U. tab. riassuntiva'!$G$11)</f>
        <v/>
      </c>
      <c r="I259" s="324" t="str">
        <f>IF(G259="","",G259*'C.U. tab. riassuntiva'!$H$11)</f>
        <v/>
      </c>
      <c r="J259" s="324" t="str">
        <f>IF(G259="","",G259*'C.U. tab. riassuntiva'!$I$11)</f>
        <v/>
      </c>
      <c r="K259" s="324" t="str">
        <f>IF(G259="","",G259*'C.U. tab. riassuntiva'!$J$11)</f>
        <v/>
      </c>
      <c r="L259" s="3"/>
      <c r="M259" s="324" t="str">
        <f>IF(L259="","",L259*'C.U. tab. riassuntiva'!$G$11)</f>
        <v/>
      </c>
      <c r="N259" s="324" t="str">
        <f>IF(L259="","",L259*'C.U. tab. riassuntiva'!$H$11)</f>
        <v/>
      </c>
      <c r="O259" s="324" t="str">
        <f>IF(L259="","",L259*'C.U. tab. riassuntiva'!$I$11)</f>
        <v/>
      </c>
      <c r="P259" s="324" t="str">
        <f>IF(L259="","",L259*'C.U. tab. riassuntiva'!$J$11)</f>
        <v/>
      </c>
      <c r="Q259" s="3"/>
      <c r="R259" s="324" t="str">
        <f>IF(Q259="","",Q259*'C.U. tab. riassuntiva'!$G$11)</f>
        <v/>
      </c>
      <c r="S259" s="324" t="str">
        <f>IF(Q259="","",Q259*'C.U. tab. riassuntiva'!$H$11)</f>
        <v/>
      </c>
      <c r="T259" s="324" t="str">
        <f>IF(Q259="","",Q259*'C.U. tab. riassuntiva'!$I$11)</f>
        <v/>
      </c>
      <c r="U259" s="324" t="str">
        <f>IF(Q259="","",Q259*'C.U. tab. riassuntiva'!$J$11)</f>
        <v/>
      </c>
    </row>
    <row r="260" spans="1:21">
      <c r="A260" s="299" t="s">
        <v>291</v>
      </c>
      <c r="B260" s="305"/>
      <c r="C260" s="304" t="str">
        <f>IF(B260="","",B260*'C.U. tab. riassuntiva'!$G$12)</f>
        <v/>
      </c>
      <c r="D260" s="304"/>
      <c r="E260" s="304" t="str">
        <f>IF(B260="","",B260*'C.U. tab. riassuntiva'!$I$12)</f>
        <v/>
      </c>
      <c r="F260" s="304"/>
      <c r="G260" s="3"/>
      <c r="H260" s="324" t="str">
        <f>IF(G260="","",G260*'C.U. tab. riassuntiva'!$G$12)</f>
        <v/>
      </c>
      <c r="I260" s="324"/>
      <c r="J260" s="324" t="str">
        <f>IF(G260="","",G260*'C.U. tab. riassuntiva'!$I$12)</f>
        <v/>
      </c>
      <c r="K260" s="324"/>
      <c r="L260" s="3"/>
      <c r="M260" s="324" t="str">
        <f>IF(L260="","",L260*'C.U. tab. riassuntiva'!$G$13)</f>
        <v/>
      </c>
      <c r="N260" s="324"/>
      <c r="O260" s="324" t="str">
        <f>IF(L260="","",L260*'C.U. tab. riassuntiva'!$I$13)</f>
        <v/>
      </c>
      <c r="P260" s="324"/>
      <c r="Q260" s="3"/>
      <c r="R260" s="324" t="str">
        <f>IF(Q260="","",Q260*'C.U. tab. riassuntiva'!$G$13)</f>
        <v/>
      </c>
      <c r="S260" s="324"/>
      <c r="T260" s="324" t="str">
        <f>IF(Q260="","",Q260*'C.U. tab. riassuntiva'!$I$13)</f>
        <v/>
      </c>
      <c r="U260" s="324"/>
    </row>
    <row r="261" spans="1:21">
      <c r="A261" s="299" t="s">
        <v>292</v>
      </c>
      <c r="B261" s="305">
        <v>1</v>
      </c>
      <c r="C261" s="304">
        <f>IF(B261="","",B261*'C.U. tab. riassuntiva'!$G$14)</f>
        <v>3.9715000000000003</v>
      </c>
      <c r="D261" s="304"/>
      <c r="E261" s="304">
        <f>IF(B261="","",B261*'C.U. tab. riassuntiva'!$I$14)</f>
        <v>3.0550000000000002</v>
      </c>
      <c r="F261" s="304"/>
      <c r="G261" s="3">
        <v>1</v>
      </c>
      <c r="H261" s="324">
        <f>IF(G261="","",G261*'C.U. tab. riassuntiva'!$G$14)</f>
        <v>3.9715000000000003</v>
      </c>
      <c r="I261" s="324"/>
      <c r="J261" s="324">
        <f>IF(G261="","",G261*'C.U. tab. riassuntiva'!$I$14)</f>
        <v>3.0550000000000002</v>
      </c>
      <c r="K261" s="324"/>
      <c r="L261" s="3">
        <v>1</v>
      </c>
      <c r="M261" s="324">
        <f>IF(L261="","",L261*'C.U. tab. riassuntiva'!$G$14)</f>
        <v>3.9715000000000003</v>
      </c>
      <c r="N261" s="324"/>
      <c r="O261" s="324">
        <f>IF(L261="","",L261*'C.U. tab. riassuntiva'!$I$14)</f>
        <v>3.0550000000000002</v>
      </c>
      <c r="P261" s="324"/>
      <c r="Q261" s="3">
        <v>1</v>
      </c>
      <c r="R261" s="324">
        <f>IF(Q261="","",Q261*'C.U. tab. riassuntiva'!$G$14)</f>
        <v>3.9715000000000003</v>
      </c>
      <c r="S261" s="324"/>
      <c r="T261" s="324">
        <f>IF(Q261="","",Q261*'C.U. tab. riassuntiva'!$I$14)</f>
        <v>3.0550000000000002</v>
      </c>
      <c r="U261" s="324"/>
    </row>
    <row r="262" spans="1:21">
      <c r="A262" s="299" t="s">
        <v>15</v>
      </c>
      <c r="B262" s="305"/>
      <c r="C262" s="77" t="str">
        <f>IF(B262="","",B262*'C.U. tab. riassuntiva'!$G$16)</f>
        <v/>
      </c>
      <c r="D262" s="77"/>
      <c r="E262" s="77" t="str">
        <f>IF(B262="","",B262*'C.U. tab. riassuntiva'!$I$16)</f>
        <v/>
      </c>
      <c r="F262" s="77"/>
      <c r="G262" s="3"/>
      <c r="H262" s="77" t="str">
        <f>IF(G262="","",G262*'C.U. tab. riassuntiva'!$G$16)</f>
        <v/>
      </c>
      <c r="I262" s="77"/>
      <c r="J262" s="77" t="str">
        <f>IF(G262="","",G262*'C.U. tab. riassuntiva'!$I$16)</f>
        <v/>
      </c>
      <c r="K262" s="77"/>
      <c r="L262" s="3"/>
      <c r="M262" s="77" t="str">
        <f>IF(L262="","",L262*'C.U. tab. riassuntiva'!$G$16)</f>
        <v/>
      </c>
      <c r="N262" s="77"/>
      <c r="O262" s="77" t="str">
        <f>IF(L262="","",L262*'C.U. tab. riassuntiva'!$I$16)</f>
        <v/>
      </c>
      <c r="P262" s="77"/>
      <c r="Q262" s="3"/>
      <c r="R262" s="77" t="str">
        <f>IF(Q262="","",Q262*'C.U. tab. riassuntiva'!$G$16)</f>
        <v/>
      </c>
      <c r="S262" s="77"/>
      <c r="T262" s="77" t="str">
        <f>IF(Q262="","",Q262*'C.U. tab. riassuntiva'!$I$16)</f>
        <v/>
      </c>
      <c r="U262" s="77"/>
    </row>
    <row r="263" spans="1:21">
      <c r="A263" s="299"/>
      <c r="C263" s="284">
        <f>SUM(C257:C262)</f>
        <v>9.4444999999999997</v>
      </c>
      <c r="D263" s="284">
        <f>SUM(D257:D262)</f>
        <v>3</v>
      </c>
      <c r="E263" s="284">
        <f>SUM(E257:E262)</f>
        <v>7.2650000000000006</v>
      </c>
      <c r="F263" s="284">
        <f>SUM(F257:F262)</f>
        <v>0.6</v>
      </c>
      <c r="G263" s="3"/>
      <c r="H263" s="284">
        <f>SUM(H257:H262)</f>
        <v>9.2885000000000009</v>
      </c>
      <c r="I263" s="284">
        <f>SUM(I257:I262)</f>
        <v>4.8</v>
      </c>
      <c r="J263" s="284">
        <f>SUM(J257:J262)</f>
        <v>7.1449999999999996</v>
      </c>
      <c r="K263" s="284">
        <f>SUM(K257:K262)</f>
        <v>1.7999999999999998</v>
      </c>
      <c r="L263" s="62"/>
      <c r="M263" s="284">
        <f>SUM(M257:M262)</f>
        <v>9.2885000000000009</v>
      </c>
      <c r="N263" s="284">
        <f>SUM(N257:N262)</f>
        <v>4.8</v>
      </c>
      <c r="O263" s="284">
        <f>SUM(O257:O262)</f>
        <v>7.1449999999999996</v>
      </c>
      <c r="P263" s="284">
        <f>SUM(P257:P262)</f>
        <v>1.7999999999999998</v>
      </c>
      <c r="Q263" s="62"/>
      <c r="R263" s="284">
        <f>SUM(R257:R262)</f>
        <v>9.2885000000000009</v>
      </c>
      <c r="S263" s="284">
        <f>SUM(S257:S262)</f>
        <v>4.8</v>
      </c>
      <c r="T263" s="284">
        <f>SUM(T257:T262)</f>
        <v>7.1449999999999996</v>
      </c>
      <c r="U263" s="284">
        <f>SUM(U257:U262)</f>
        <v>1.7999999999999998</v>
      </c>
    </row>
    <row r="264" spans="1:21">
      <c r="C264" s="471">
        <f>C263+D263</f>
        <v>12.4445</v>
      </c>
      <c r="D264" s="472"/>
      <c r="E264" s="471">
        <f>E263+F263</f>
        <v>7.8650000000000002</v>
      </c>
      <c r="F264" s="472"/>
      <c r="G264" s="62"/>
      <c r="H264" s="471">
        <f>H263+I263</f>
        <v>14.0885</v>
      </c>
      <c r="I264" s="472"/>
      <c r="J264" s="471">
        <f>J263+K263</f>
        <v>8.9450000000000003</v>
      </c>
      <c r="K264" s="472"/>
      <c r="L264" s="314"/>
      <c r="M264" s="471">
        <f>M263+N263</f>
        <v>14.0885</v>
      </c>
      <c r="N264" s="472"/>
      <c r="O264" s="471">
        <f>O263+P263</f>
        <v>8.9450000000000003</v>
      </c>
      <c r="P264" s="472"/>
      <c r="Q264" s="314"/>
      <c r="R264" s="471">
        <f>R263+S263</f>
        <v>14.0885</v>
      </c>
      <c r="S264" s="471"/>
      <c r="T264" s="471">
        <f>T263+U263</f>
        <v>8.9450000000000003</v>
      </c>
      <c r="U264" s="471"/>
    </row>
    <row r="265" spans="1:21">
      <c r="C265" s="304"/>
      <c r="E265" s="304"/>
    </row>
    <row r="266" spans="1:21">
      <c r="H266" s="304"/>
      <c r="J266" s="304"/>
      <c r="M266" s="304"/>
      <c r="O266" s="304"/>
      <c r="R266" s="304"/>
      <c r="S266" s="304"/>
      <c r="T266" s="304"/>
      <c r="U266" s="304"/>
    </row>
    <row r="267" spans="1:21">
      <c r="A267" s="272" t="s">
        <v>287</v>
      </c>
      <c r="B267" s="43"/>
      <c r="C267" s="289" t="s">
        <v>293</v>
      </c>
      <c r="H267" s="289" t="s">
        <v>303</v>
      </c>
      <c r="M267" s="289" t="s">
        <v>331</v>
      </c>
      <c r="R267" s="289" t="s">
        <v>330</v>
      </c>
    </row>
    <row r="268" spans="1:21" ht="18.75">
      <c r="A268" s="303" t="s">
        <v>352</v>
      </c>
      <c r="C268" s="285" t="s">
        <v>304</v>
      </c>
      <c r="D268" s="285" t="s">
        <v>305</v>
      </c>
      <c r="E268" s="285" t="s">
        <v>306</v>
      </c>
      <c r="F268" s="286" t="s">
        <v>307</v>
      </c>
      <c r="G268" s="62"/>
      <c r="H268" s="285" t="s">
        <v>304</v>
      </c>
      <c r="I268" s="285" t="s">
        <v>305</v>
      </c>
      <c r="J268" s="285" t="s">
        <v>306</v>
      </c>
      <c r="K268" s="286" t="s">
        <v>307</v>
      </c>
      <c r="L268" s="62"/>
      <c r="M268" s="285" t="s">
        <v>304</v>
      </c>
      <c r="N268" s="285" t="s">
        <v>305</v>
      </c>
      <c r="O268" s="285" t="s">
        <v>306</v>
      </c>
      <c r="P268" s="286" t="s">
        <v>307</v>
      </c>
      <c r="Q268" s="62"/>
      <c r="R268" s="285" t="s">
        <v>304</v>
      </c>
      <c r="S268" s="285" t="s">
        <v>305</v>
      </c>
      <c r="T268" s="285" t="s">
        <v>306</v>
      </c>
      <c r="U268" s="286" t="s">
        <v>307</v>
      </c>
    </row>
    <row r="269" spans="1:21" ht="15.75">
      <c r="A269" s="303"/>
      <c r="C269" s="285"/>
      <c r="D269" s="285"/>
      <c r="E269" s="285"/>
      <c r="F269" s="286"/>
      <c r="G269" s="62"/>
      <c r="L269" s="62"/>
      <c r="Q269" s="62"/>
    </row>
    <row r="270" spans="1:21">
      <c r="A270" s="299" t="s">
        <v>288</v>
      </c>
      <c r="B270" s="304">
        <v>1</v>
      </c>
      <c r="C270" s="304">
        <f>IF(B270="","",B270*'C.U. tab. riassuntiva'!$G$7)</f>
        <v>5.4729999999999999</v>
      </c>
      <c r="D270" s="304">
        <f>IF(B270="","",B270*'C.U. tab. riassuntiva'!$H$7)</f>
        <v>3</v>
      </c>
      <c r="E270" s="304">
        <f>IF(B270="","",B270*'C.U. tab. riassuntiva'!$I$7)</f>
        <v>4.21</v>
      </c>
      <c r="F270" s="304">
        <f>IF(B270="","",B270*'C.U. tab. riassuntiva'!$J$7)</f>
        <v>0.6</v>
      </c>
      <c r="G270" s="3">
        <v>1</v>
      </c>
      <c r="H270" s="324">
        <f>IF(G270="","",G270*'C.U. tab. riassuntiva'!$G$4)</f>
        <v>5.3170000000000002</v>
      </c>
      <c r="I270" s="324">
        <f>IF(G270="","",G270*'C.U. tab. riassuntiva'!$H$4)</f>
        <v>4.8</v>
      </c>
      <c r="J270" s="324">
        <f>IF(G270="","",G270*'C.U. tab. riassuntiva'!$I$4)</f>
        <v>4.09</v>
      </c>
      <c r="K270" s="324">
        <f>IF(G270="","",G270*'C.U. tab. riassuntiva'!$J$4)</f>
        <v>1.7999999999999998</v>
      </c>
      <c r="L270" s="3">
        <v>1</v>
      </c>
      <c r="M270" s="324">
        <f>IF(L270="","",L270*'C.U. tab. riassuntiva'!$G$4)</f>
        <v>5.3170000000000002</v>
      </c>
      <c r="N270" s="324">
        <f>IF(L270="","",L270*'C.U. tab. riassuntiva'!$H$4)</f>
        <v>4.8</v>
      </c>
      <c r="O270" s="324">
        <f>IF(L270="","",L270*'C.U. tab. riassuntiva'!$I$4)</f>
        <v>4.09</v>
      </c>
      <c r="P270" s="324">
        <f>IF(L270="","",L270*'C.U. tab. riassuntiva'!$J$4)</f>
        <v>1.7999999999999998</v>
      </c>
      <c r="Q270" s="3">
        <v>1</v>
      </c>
      <c r="R270" s="324">
        <f>IF(Q270="","",Q270*'C.U. tab. riassuntiva'!$G$4)</f>
        <v>5.3170000000000002</v>
      </c>
      <c r="S270" s="324">
        <f>IF(Q270="","",Q270*'C.U. tab. riassuntiva'!$H$4)</f>
        <v>4.8</v>
      </c>
      <c r="T270" s="324">
        <f>IF(Q270="","",Q270*'C.U. tab. riassuntiva'!$I$4)</f>
        <v>4.09</v>
      </c>
      <c r="U270" s="324">
        <f>IF(Q270="","",Q270*'C.U. tab. riassuntiva'!$J$4)</f>
        <v>1.7999999999999998</v>
      </c>
    </row>
    <row r="271" spans="1:21">
      <c r="A271" s="299" t="s">
        <v>289</v>
      </c>
      <c r="B271" s="305"/>
      <c r="C271" s="304" t="str">
        <f>IF(B271="","",B271*'C.U. tab. riassuntiva'!$G$9)</f>
        <v/>
      </c>
      <c r="D271" s="304" t="str">
        <f>IF(B271="","",B271*'C.U. tab. riassuntiva'!$H$9)</f>
        <v/>
      </c>
      <c r="E271" s="304" t="str">
        <f>IF(B271="","",B271*'C.U. tab. riassuntiva'!$I$9)</f>
        <v/>
      </c>
      <c r="F271" s="304" t="str">
        <f>IF(B271="","",B271*'C.U. tab. riassuntiva'!$J$9)</f>
        <v/>
      </c>
      <c r="G271" s="23"/>
      <c r="H271" s="324" t="str">
        <f>IF(G271="","",G271*'C.U. tab. riassuntiva'!$G$10)</f>
        <v/>
      </c>
      <c r="I271" s="324" t="str">
        <f>IF(G271="","",G271*'C.U. tab. riassuntiva'!$H$10)</f>
        <v/>
      </c>
      <c r="J271" s="324" t="str">
        <f>IF(G271="","",G271*'C.U. tab. riassuntiva'!$I$10)</f>
        <v/>
      </c>
      <c r="K271" s="324" t="str">
        <f>IF(G271="","",G271*'C.U. tab. riassuntiva'!$J$10)</f>
        <v/>
      </c>
      <c r="L271" s="23"/>
      <c r="M271" s="324" t="str">
        <f>IF(L271="","",L271*'C.U. tab. riassuntiva'!$G$10)</f>
        <v/>
      </c>
      <c r="N271" s="324" t="str">
        <f>IF(L271="","",L271*'C.U. tab. riassuntiva'!$H$10)</f>
        <v/>
      </c>
      <c r="O271" s="324" t="str">
        <f>IF(L271="","",L271*'C.U. tab. riassuntiva'!$I$10)</f>
        <v/>
      </c>
      <c r="P271" s="324" t="str">
        <f>IF(L271="","",L271*'C.U. tab. riassuntiva'!$J$10)</f>
        <v/>
      </c>
      <c r="Q271" s="23"/>
      <c r="R271" s="324" t="str">
        <f>IF(Q271="","",Q271*'C.U. tab. riassuntiva'!$G$10)</f>
        <v/>
      </c>
      <c r="S271" s="324" t="str">
        <f>IF(Q271="","",Q271*'C.U. tab. riassuntiva'!$H$10)</f>
        <v/>
      </c>
      <c r="T271" s="324" t="str">
        <f>IF(Q271="","",Q271*'C.U. tab. riassuntiva'!$I$10)</f>
        <v/>
      </c>
      <c r="U271" s="324" t="str">
        <f>IF(Q271="","",Q271*'C.U. tab. riassuntiva'!$J$10)</f>
        <v/>
      </c>
    </row>
    <row r="272" spans="1:21">
      <c r="A272" s="299" t="s">
        <v>290</v>
      </c>
      <c r="B272" s="305"/>
      <c r="C272" s="304" t="str">
        <f>IF(B272="","",B272*'C.U. tab. riassuntiva'!$G$11)</f>
        <v/>
      </c>
      <c r="D272" s="304" t="str">
        <f>IF(B272="","",B272*'C.U. tab. riassuntiva'!$H$11)</f>
        <v/>
      </c>
      <c r="E272" s="304" t="str">
        <f>IF(B272="","",B272*'C.U. tab. riassuntiva'!$I$11)</f>
        <v/>
      </c>
      <c r="F272" s="304" t="str">
        <f>IF(B272="","",B272*'C.U. tab. riassuntiva'!$J$11)</f>
        <v/>
      </c>
      <c r="G272" s="3"/>
      <c r="H272" s="324" t="str">
        <f>IF(G272="","",G272*'C.U. tab. riassuntiva'!$G$11)</f>
        <v/>
      </c>
      <c r="I272" s="324" t="str">
        <f>IF(G272="","",G272*'C.U. tab. riassuntiva'!$H$11)</f>
        <v/>
      </c>
      <c r="J272" s="324" t="str">
        <f>IF(G272="","",G272*'C.U. tab. riassuntiva'!$I$11)</f>
        <v/>
      </c>
      <c r="K272" s="324" t="str">
        <f>IF(G272="","",G272*'C.U. tab. riassuntiva'!$J$11)</f>
        <v/>
      </c>
      <c r="L272" s="3"/>
      <c r="M272" s="324" t="str">
        <f>IF(L272="","",L272*'C.U. tab. riassuntiva'!$G$11)</f>
        <v/>
      </c>
      <c r="N272" s="324" t="str">
        <f>IF(L272="","",L272*'C.U. tab. riassuntiva'!$H$11)</f>
        <v/>
      </c>
      <c r="O272" s="324" t="str">
        <f>IF(L272="","",L272*'C.U. tab. riassuntiva'!$I$11)</f>
        <v/>
      </c>
      <c r="P272" s="324" t="str">
        <f>IF(L272="","",L272*'C.U. tab. riassuntiva'!$J$11)</f>
        <v/>
      </c>
      <c r="Q272" s="3"/>
      <c r="R272" s="324" t="str">
        <f>IF(Q272="","",Q272*'C.U. tab. riassuntiva'!$G$11)</f>
        <v/>
      </c>
      <c r="S272" s="324" t="str">
        <f>IF(Q272="","",Q272*'C.U. tab. riassuntiva'!$H$11)</f>
        <v/>
      </c>
      <c r="T272" s="324" t="str">
        <f>IF(Q272="","",Q272*'C.U. tab. riassuntiva'!$I$11)</f>
        <v/>
      </c>
      <c r="U272" s="324" t="str">
        <f>IF(Q272="","",Q272*'C.U. tab. riassuntiva'!$J$11)</f>
        <v/>
      </c>
    </row>
    <row r="273" spans="1:21">
      <c r="A273" s="299" t="s">
        <v>291</v>
      </c>
      <c r="B273" s="305">
        <v>1</v>
      </c>
      <c r="C273" s="304">
        <f>IF(B273="","",B273*'C.U. tab. riassuntiva'!$G$12)</f>
        <v>3.8415000000000004</v>
      </c>
      <c r="D273" s="304"/>
      <c r="E273" s="304">
        <f>IF(B273="","",B273*'C.U. tab. riassuntiva'!$I$12)</f>
        <v>2.9550000000000001</v>
      </c>
      <c r="F273" s="304"/>
      <c r="G273" s="3">
        <v>1</v>
      </c>
      <c r="H273" s="324">
        <f>IF(G273="","",G273*'C.U. tab. riassuntiva'!$G$12)</f>
        <v>3.8415000000000004</v>
      </c>
      <c r="I273" s="324"/>
      <c r="J273" s="324">
        <f>IF(G273="","",G273*'C.U. tab. riassuntiva'!$I$12)</f>
        <v>2.9550000000000001</v>
      </c>
      <c r="K273" s="324"/>
      <c r="L273" s="3">
        <v>1</v>
      </c>
      <c r="M273" s="324">
        <f>IF(L273="","",L273*'C.U. tab. riassuntiva'!$G$13)</f>
        <v>4.8165000000000004</v>
      </c>
      <c r="N273" s="324"/>
      <c r="O273" s="324">
        <f>IF(L273="","",L273*'C.U. tab. riassuntiva'!$I$13)</f>
        <v>3.7050000000000001</v>
      </c>
      <c r="P273" s="324"/>
      <c r="Q273" s="3">
        <v>1</v>
      </c>
      <c r="R273" s="324">
        <f>IF(Q273="","",Q273*'C.U. tab. riassuntiva'!$G$13)</f>
        <v>4.8165000000000004</v>
      </c>
      <c r="S273" s="324"/>
      <c r="T273" s="324">
        <f>IF(Q273="","",Q273*'C.U. tab. riassuntiva'!$I$13)</f>
        <v>3.7050000000000001</v>
      </c>
      <c r="U273" s="324"/>
    </row>
    <row r="274" spans="1:21">
      <c r="A274" s="299" t="s">
        <v>292</v>
      </c>
      <c r="B274" s="305"/>
      <c r="C274" s="304" t="str">
        <f>IF(B274="","",B274*'C.U. tab. riassuntiva'!$G$14)</f>
        <v/>
      </c>
      <c r="D274" s="304"/>
      <c r="E274" s="304" t="str">
        <f>IF(B274="","",B274*'C.U. tab. riassuntiva'!$I$14)</f>
        <v/>
      </c>
      <c r="F274" s="304"/>
      <c r="G274" s="3"/>
      <c r="H274" s="324" t="str">
        <f>IF(G274="","",G274*'C.U. tab. riassuntiva'!$G$14)</f>
        <v/>
      </c>
      <c r="I274" s="324"/>
      <c r="J274" s="324" t="str">
        <f>IF(G274="","",G274*'C.U. tab. riassuntiva'!$I$14)</f>
        <v/>
      </c>
      <c r="K274" s="324"/>
      <c r="L274" s="3"/>
      <c r="M274" s="324" t="str">
        <f>IF(L274="","",L274*'C.U. tab. riassuntiva'!$G$14)</f>
        <v/>
      </c>
      <c r="N274" s="324"/>
      <c r="O274" s="324" t="str">
        <f>IF(L274="","",L274*'C.U. tab. riassuntiva'!$I$14)</f>
        <v/>
      </c>
      <c r="P274" s="324"/>
      <c r="Q274" s="3"/>
      <c r="R274" s="324" t="str">
        <f>IF(Q274="","",Q274*'C.U. tab. riassuntiva'!$G$14)</f>
        <v/>
      </c>
      <c r="S274" s="324"/>
      <c r="T274" s="324" t="str">
        <f>IF(Q274="","",Q274*'C.U. tab. riassuntiva'!$I$14)</f>
        <v/>
      </c>
      <c r="U274" s="324"/>
    </row>
    <row r="275" spans="1:21">
      <c r="A275" s="299" t="s">
        <v>15</v>
      </c>
      <c r="B275" s="305"/>
      <c r="C275" s="77" t="str">
        <f>IF(B275="","",B275*'C.U. tab. riassuntiva'!$G$16)</f>
        <v/>
      </c>
      <c r="D275" s="77"/>
      <c r="E275" s="77" t="str">
        <f>IF(B275="","",B275*'C.U. tab. riassuntiva'!$I$16)</f>
        <v/>
      </c>
      <c r="F275" s="77"/>
      <c r="G275" s="3"/>
      <c r="H275" s="77" t="str">
        <f>IF(G275="","",G275*'C.U. tab. riassuntiva'!$G$16)</f>
        <v/>
      </c>
      <c r="I275" s="77"/>
      <c r="J275" s="77" t="str">
        <f>IF(G275="","",G275*'C.U. tab. riassuntiva'!$I$16)</f>
        <v/>
      </c>
      <c r="K275" s="77"/>
      <c r="L275" s="3"/>
      <c r="M275" s="77" t="str">
        <f>IF(L275="","",L275*'C.U. tab. riassuntiva'!$G$16)</f>
        <v/>
      </c>
      <c r="N275" s="77"/>
      <c r="O275" s="77" t="str">
        <f>IF(L275="","",L275*'C.U. tab. riassuntiva'!$I$16)</f>
        <v/>
      </c>
      <c r="P275" s="77"/>
      <c r="Q275" s="3"/>
      <c r="R275" s="77" t="str">
        <f>IF(Q275="","",Q275*'C.U. tab. riassuntiva'!$G$16)</f>
        <v/>
      </c>
      <c r="S275" s="77"/>
      <c r="T275" s="77" t="str">
        <f>IF(Q275="","",Q275*'C.U. tab. riassuntiva'!$I$16)</f>
        <v/>
      </c>
      <c r="U275" s="77"/>
    </row>
    <row r="276" spans="1:21">
      <c r="A276" s="299"/>
      <c r="C276" s="284">
        <f>SUM(C270:C275)</f>
        <v>9.3145000000000007</v>
      </c>
      <c r="D276" s="284">
        <f>SUM(D270:D275)</f>
        <v>3</v>
      </c>
      <c r="E276" s="284">
        <f>SUM(E270:E275)</f>
        <v>7.165</v>
      </c>
      <c r="F276" s="284">
        <f>SUM(F270:F275)</f>
        <v>0.6</v>
      </c>
      <c r="G276" s="3"/>
      <c r="H276" s="284">
        <f>SUM(H271:H275)</f>
        <v>3.8415000000000004</v>
      </c>
      <c r="I276" s="284">
        <f>SUM(I271:I275)</f>
        <v>0</v>
      </c>
      <c r="J276" s="284">
        <f>SUM(J271:J275)</f>
        <v>2.9550000000000001</v>
      </c>
      <c r="K276" s="284">
        <f>SUM(K271:K275)</f>
        <v>0</v>
      </c>
      <c r="L276" s="62"/>
      <c r="M276" s="284">
        <f>SUM(M271:M275)</f>
        <v>4.8165000000000004</v>
      </c>
      <c r="N276" s="284">
        <f>SUM(N271:N275)</f>
        <v>0</v>
      </c>
      <c r="O276" s="284">
        <f>SUM(O271:O275)</f>
        <v>3.7050000000000001</v>
      </c>
      <c r="P276" s="284">
        <f>SUM(P271:P275)</f>
        <v>0</v>
      </c>
      <c r="Q276" s="62"/>
      <c r="R276" s="284">
        <f>SUM(R270:R275)</f>
        <v>10.133500000000002</v>
      </c>
      <c r="S276" s="284">
        <f>SUM(S270:S275)</f>
        <v>4.8</v>
      </c>
      <c r="T276" s="284">
        <f>SUM(T270:T275)</f>
        <v>7.7949999999999999</v>
      </c>
      <c r="U276" s="284">
        <f>SUM(U270:U275)</f>
        <v>1.7999999999999998</v>
      </c>
    </row>
    <row r="277" spans="1:21">
      <c r="C277" s="471">
        <f>C276+D276</f>
        <v>12.314500000000001</v>
      </c>
      <c r="D277" s="472"/>
      <c r="E277" s="471">
        <f>E276+F276</f>
        <v>7.7649999999999997</v>
      </c>
      <c r="F277" s="472"/>
      <c r="G277" s="62"/>
      <c r="H277" s="471">
        <f>H276+I276</f>
        <v>3.8415000000000004</v>
      </c>
      <c r="I277" s="471"/>
      <c r="J277" s="471">
        <f>J276+K276</f>
        <v>2.9550000000000001</v>
      </c>
      <c r="K277" s="471"/>
      <c r="L277" s="314"/>
      <c r="M277" s="471">
        <f>M276+N276</f>
        <v>4.8165000000000004</v>
      </c>
      <c r="N277" s="471"/>
      <c r="O277" s="471">
        <f>O276+P276</f>
        <v>3.7050000000000001</v>
      </c>
      <c r="P277" s="471"/>
      <c r="Q277" s="314"/>
      <c r="R277" s="471">
        <f>R276+S276</f>
        <v>14.933500000000002</v>
      </c>
      <c r="S277" s="471"/>
      <c r="T277" s="471">
        <f>T276+U276</f>
        <v>9.5949999999999989</v>
      </c>
      <c r="U277" s="471"/>
    </row>
    <row r="279" spans="1:21">
      <c r="A279" s="316" t="s">
        <v>240</v>
      </c>
    </row>
    <row r="280" spans="1:21">
      <c r="A280" s="272" t="s">
        <v>287</v>
      </c>
      <c r="B280" s="43"/>
      <c r="C280" s="289" t="s">
        <v>293</v>
      </c>
      <c r="H280" s="289" t="s">
        <v>303</v>
      </c>
      <c r="M280" s="289" t="s">
        <v>331</v>
      </c>
      <c r="R280" s="289" t="s">
        <v>330</v>
      </c>
    </row>
    <row r="281" spans="1:21" ht="18.75">
      <c r="A281" s="303" t="s">
        <v>354</v>
      </c>
      <c r="C281" s="285" t="s">
        <v>304</v>
      </c>
      <c r="D281" s="285" t="s">
        <v>305</v>
      </c>
      <c r="E281" s="285" t="s">
        <v>306</v>
      </c>
      <c r="F281" s="286" t="s">
        <v>307</v>
      </c>
      <c r="G281" s="62"/>
      <c r="H281" s="285" t="s">
        <v>304</v>
      </c>
      <c r="I281" s="285" t="s">
        <v>305</v>
      </c>
      <c r="J281" s="285" t="s">
        <v>306</v>
      </c>
      <c r="K281" s="286" t="s">
        <v>307</v>
      </c>
      <c r="L281" s="62"/>
      <c r="M281" s="285" t="s">
        <v>304</v>
      </c>
      <c r="N281" s="285" t="s">
        <v>305</v>
      </c>
      <c r="O281" s="285" t="s">
        <v>306</v>
      </c>
      <c r="P281" s="286" t="s">
        <v>307</v>
      </c>
      <c r="Q281" s="62"/>
      <c r="R281" s="285" t="s">
        <v>304</v>
      </c>
      <c r="S281" s="285" t="s">
        <v>305</v>
      </c>
      <c r="T281" s="285" t="s">
        <v>306</v>
      </c>
      <c r="U281" s="286" t="s">
        <v>307</v>
      </c>
    </row>
    <row r="282" spans="1:21" ht="15.75">
      <c r="A282" s="303"/>
      <c r="C282" s="285"/>
      <c r="D282" s="285"/>
      <c r="E282" s="285"/>
      <c r="F282" s="286"/>
      <c r="G282" s="62"/>
      <c r="H282" s="285"/>
      <c r="I282" s="285"/>
      <c r="J282" s="285"/>
      <c r="K282" s="286"/>
      <c r="L282" s="62"/>
      <c r="M282" s="285"/>
      <c r="N282" s="285"/>
      <c r="O282" s="285"/>
      <c r="P282" s="286"/>
      <c r="Q282" s="62"/>
      <c r="R282" s="285"/>
      <c r="S282" s="285"/>
      <c r="T282" s="285"/>
      <c r="U282" s="286"/>
    </row>
    <row r="283" spans="1:21">
      <c r="A283" s="299" t="s">
        <v>288</v>
      </c>
      <c r="B283" s="304">
        <v>0.5</v>
      </c>
      <c r="C283" s="304">
        <f>IF(B283="","",B283*'C.U. tab. riassuntiva'!$G$7)</f>
        <v>2.7364999999999999</v>
      </c>
      <c r="D283" s="304">
        <f>IF(B283="","",B283*'C.U. tab. riassuntiva'!$H$7)</f>
        <v>1.5</v>
      </c>
      <c r="E283" s="304">
        <f>IF(B283="","",B283*'C.U. tab. riassuntiva'!$I$7)</f>
        <v>2.105</v>
      </c>
      <c r="F283" s="304">
        <f>IF(B283="","",B283*'C.U. tab. riassuntiva'!$J$7)</f>
        <v>0.3</v>
      </c>
      <c r="G283" s="23">
        <v>0.5</v>
      </c>
      <c r="H283" s="304">
        <f>IF(G283="","",G283*'C.U. tab. riassuntiva'!$G$4)</f>
        <v>2.6585000000000001</v>
      </c>
      <c r="I283" s="304">
        <f>IF(G283="","",G283*'C.U. tab. riassuntiva'!$H$4)</f>
        <v>2.4</v>
      </c>
      <c r="J283" s="304">
        <f>IF(G283="","",G283*'C.U. tab. riassuntiva'!$I$4)</f>
        <v>2.0449999999999999</v>
      </c>
      <c r="K283" s="304">
        <f>IF(G283="","",G283*'C.U. tab. riassuntiva'!$J$4)</f>
        <v>0.89999999999999991</v>
      </c>
      <c r="L283" s="23">
        <v>0.5</v>
      </c>
      <c r="M283" s="304">
        <f>IF(L283="","",L283*'C.U. tab. riassuntiva'!$G$4)</f>
        <v>2.6585000000000001</v>
      </c>
      <c r="N283" s="304">
        <f>IF(L283="","",L283*'C.U. tab. riassuntiva'!$H$4)</f>
        <v>2.4</v>
      </c>
      <c r="O283" s="304">
        <f>IF(L283="","",L283*'C.U. tab. riassuntiva'!$I$4)</f>
        <v>2.0449999999999999</v>
      </c>
      <c r="P283" s="304">
        <f>IF(L283="","",L283*'C.U. tab. riassuntiva'!$J$4)</f>
        <v>0.89999999999999991</v>
      </c>
      <c r="Q283" s="23">
        <v>0.5</v>
      </c>
      <c r="R283" s="304">
        <f>IF(Q283="","",Q283*'C.U. tab. riassuntiva'!$G$4)</f>
        <v>2.6585000000000001</v>
      </c>
      <c r="S283" s="304">
        <f>IF(Q283="","",Q283*'C.U. tab. riassuntiva'!$H$4)</f>
        <v>2.4</v>
      </c>
      <c r="T283" s="304">
        <f>IF(Q283="","",Q283*'C.U. tab. riassuntiva'!$I$4)</f>
        <v>2.0449999999999999</v>
      </c>
      <c r="U283" s="304">
        <f>IF(Q283="","",Q283*'C.U. tab. riassuntiva'!$J$4)</f>
        <v>0.89999999999999991</v>
      </c>
    </row>
    <row r="284" spans="1:21">
      <c r="A284" s="299" t="s">
        <v>289</v>
      </c>
      <c r="B284" s="305"/>
      <c r="C284" s="304" t="str">
        <f>IF(B284="","",B284*'C.U. tab. riassuntiva'!$G$9)</f>
        <v/>
      </c>
      <c r="D284" s="304" t="str">
        <f>IF(B284="","",B284*'C.U. tab. riassuntiva'!$H$9)</f>
        <v/>
      </c>
      <c r="E284" s="304" t="str">
        <f>IF(B284="","",B284*'C.U. tab. riassuntiva'!$I$9)</f>
        <v/>
      </c>
      <c r="F284" s="304" t="str">
        <f>IF(B284="","",B284*'C.U. tab. riassuntiva'!$J$9)</f>
        <v/>
      </c>
      <c r="G284" s="3"/>
      <c r="H284" s="304" t="str">
        <f>IF(G284="","",G284*'C.U. tab. riassuntiva'!$G$10)</f>
        <v/>
      </c>
      <c r="I284" s="304" t="str">
        <f>IF(G284="","",G284*'C.U. tab. riassuntiva'!$H$10)</f>
        <v/>
      </c>
      <c r="J284" s="304" t="str">
        <f>IF(G284="","",G284*'C.U. tab. riassuntiva'!$I$10)</f>
        <v/>
      </c>
      <c r="K284" s="304" t="str">
        <f>IF(G284="","",G284*'C.U. tab. riassuntiva'!$J$10)</f>
        <v/>
      </c>
      <c r="L284" s="3"/>
      <c r="M284" s="304" t="str">
        <f>IF(L284="","",L284*'C.U. tab. riassuntiva'!$G$10)</f>
        <v/>
      </c>
      <c r="N284" s="304" t="str">
        <f>IF(L284="","",L284*'C.U. tab. riassuntiva'!$H$10)</f>
        <v/>
      </c>
      <c r="O284" s="304" t="str">
        <f>IF(L284="","",L284*'C.U. tab. riassuntiva'!$I$10)</f>
        <v/>
      </c>
      <c r="P284" s="304" t="str">
        <f>IF(L284="","",L284*'C.U. tab. riassuntiva'!$J$10)</f>
        <v/>
      </c>
      <c r="Q284" s="3"/>
      <c r="R284" s="304" t="str">
        <f>IF(Q284="","",Q284*'C.U. tab. riassuntiva'!$G$10)</f>
        <v/>
      </c>
      <c r="S284" s="304" t="str">
        <f>IF(Q284="","",Q284*'C.U. tab. riassuntiva'!$H$10)</f>
        <v/>
      </c>
      <c r="T284" s="304" t="str">
        <f>IF(Q284="","",Q284*'C.U. tab. riassuntiva'!$I$10)</f>
        <v/>
      </c>
      <c r="U284" s="304" t="str">
        <f>IF(Q284="","",Q284*'C.U. tab. riassuntiva'!$J$10)</f>
        <v/>
      </c>
    </row>
    <row r="285" spans="1:21">
      <c r="A285" s="299" t="s">
        <v>290</v>
      </c>
      <c r="B285" s="305"/>
      <c r="C285" s="304" t="str">
        <f>IF(B285="","",B285*'C.U. tab. riassuntiva'!$G$11)</f>
        <v/>
      </c>
      <c r="D285" s="304" t="str">
        <f>IF(B285="","",B285*'C.U. tab. riassuntiva'!$H$11)</f>
        <v/>
      </c>
      <c r="E285" s="304" t="str">
        <f>IF(B285="","",B285*'C.U. tab. riassuntiva'!$I$11)</f>
        <v/>
      </c>
      <c r="F285" s="304" t="str">
        <f>IF(B285="","",B285*'C.U. tab. riassuntiva'!$J$11)</f>
        <v/>
      </c>
      <c r="G285" s="3"/>
      <c r="H285" s="304" t="str">
        <f>IF(G285="","",G285*'C.U. tab. riassuntiva'!$G$11)</f>
        <v/>
      </c>
      <c r="I285" s="304" t="str">
        <f>IF(G285="","",G285*'C.U. tab. riassuntiva'!$H$11)</f>
        <v/>
      </c>
      <c r="J285" s="304" t="str">
        <f>IF(G285="","",G285*'C.U. tab. riassuntiva'!$I$11)</f>
        <v/>
      </c>
      <c r="K285" s="304" t="str">
        <f>IF(G285="","",G285*'C.U. tab. riassuntiva'!$J$11)</f>
        <v/>
      </c>
      <c r="L285" s="3"/>
      <c r="M285" s="304" t="str">
        <f>IF(L285="","",L285*'C.U. tab. riassuntiva'!$G$11)</f>
        <v/>
      </c>
      <c r="N285" s="304" t="str">
        <f>IF(L285="","",L285*'C.U. tab. riassuntiva'!$H$11)</f>
        <v/>
      </c>
      <c r="O285" s="304" t="str">
        <f>IF(L285="","",L285*'C.U. tab. riassuntiva'!$I$11)</f>
        <v/>
      </c>
      <c r="P285" s="304" t="str">
        <f>IF(L285="","",L285*'C.U. tab. riassuntiva'!$J$11)</f>
        <v/>
      </c>
      <c r="Q285" s="3"/>
      <c r="R285" s="304" t="str">
        <f>IF(Q285="","",Q285*'C.U. tab. riassuntiva'!$G$11)</f>
        <v/>
      </c>
      <c r="S285" s="304" t="str">
        <f>IF(Q285="","",Q285*'C.U. tab. riassuntiva'!$H$11)</f>
        <v/>
      </c>
      <c r="T285" s="304" t="str">
        <f>IF(Q285="","",Q285*'C.U. tab. riassuntiva'!$I$11)</f>
        <v/>
      </c>
      <c r="U285" s="304" t="str">
        <f>IF(Q285="","",Q285*'C.U. tab. riassuntiva'!$J$11)</f>
        <v/>
      </c>
    </row>
    <row r="286" spans="1:21">
      <c r="A286" s="299" t="s">
        <v>291</v>
      </c>
      <c r="B286" s="305">
        <v>1</v>
      </c>
      <c r="C286" s="304">
        <f>IF(B286="","",B286*'C.U. tab. riassuntiva'!$G$12)</f>
        <v>3.8415000000000004</v>
      </c>
      <c r="D286" s="304"/>
      <c r="E286" s="304">
        <f>IF(B286="","",B286*'C.U. tab. riassuntiva'!$I$12)</f>
        <v>2.9550000000000001</v>
      </c>
      <c r="F286" s="304"/>
      <c r="G286" s="3">
        <v>1</v>
      </c>
      <c r="H286" s="304">
        <f>IF(G286="","",G286*'C.U. tab. riassuntiva'!$G$12)</f>
        <v>3.8415000000000004</v>
      </c>
      <c r="I286" s="304"/>
      <c r="J286" s="304">
        <f>IF(G286="","",G286*'C.U. tab. riassuntiva'!$I$12)</f>
        <v>2.9550000000000001</v>
      </c>
      <c r="K286" s="304"/>
      <c r="L286" s="3">
        <v>1</v>
      </c>
      <c r="M286" s="304">
        <f>IF(L286="","",L286*'C.U. tab. riassuntiva'!$G$13)</f>
        <v>4.8165000000000004</v>
      </c>
      <c r="N286" s="304"/>
      <c r="O286" s="304">
        <f>IF(L286="","",L286*'C.U. tab. riassuntiva'!$I$13)</f>
        <v>3.7050000000000001</v>
      </c>
      <c r="P286" s="304"/>
      <c r="Q286" s="3">
        <v>1</v>
      </c>
      <c r="R286" s="304">
        <f>IF(Q286="","",Q286*'C.U. tab. riassuntiva'!$G$13)</f>
        <v>4.8165000000000004</v>
      </c>
      <c r="S286" s="304"/>
      <c r="T286" s="304">
        <f>IF(Q286="","",Q286*'C.U. tab. riassuntiva'!$I$13)</f>
        <v>3.7050000000000001</v>
      </c>
      <c r="U286" s="304"/>
    </row>
    <row r="287" spans="1:21">
      <c r="A287" s="299" t="s">
        <v>292</v>
      </c>
      <c r="B287" s="305"/>
      <c r="C287" s="304" t="str">
        <f>IF(B287="","",B287*'C.U. tab. riassuntiva'!$G$14)</f>
        <v/>
      </c>
      <c r="D287" s="304"/>
      <c r="E287" s="304" t="str">
        <f>IF(B287="","",B287*'C.U. tab. riassuntiva'!$I$14)</f>
        <v/>
      </c>
      <c r="F287" s="304"/>
      <c r="G287" s="3"/>
      <c r="H287" s="304" t="str">
        <f>IF(G287="","",G287*'C.U. tab. riassuntiva'!$G$14)</f>
        <v/>
      </c>
      <c r="I287" s="304"/>
      <c r="J287" s="304" t="str">
        <f>IF(G287="","",G287*'C.U. tab. riassuntiva'!$I$14)</f>
        <v/>
      </c>
      <c r="K287" s="304"/>
      <c r="L287" s="3"/>
      <c r="M287" s="304" t="str">
        <f>IF(L287="","",L287*'C.U. tab. riassuntiva'!$G$14)</f>
        <v/>
      </c>
      <c r="N287" s="304"/>
      <c r="O287" s="304" t="str">
        <f>IF(L287="","",L287*'C.U. tab. riassuntiva'!$I$14)</f>
        <v/>
      </c>
      <c r="P287" s="304"/>
      <c r="Q287" s="3"/>
      <c r="R287" s="304" t="str">
        <f>IF(Q287="","",Q287*'C.U. tab. riassuntiva'!$G$14)</f>
        <v/>
      </c>
      <c r="S287" s="304"/>
      <c r="T287" s="304" t="str">
        <f>IF(Q287="","",Q287*'C.U. tab. riassuntiva'!$I$14)</f>
        <v/>
      </c>
      <c r="U287" s="304"/>
    </row>
    <row r="288" spans="1:21">
      <c r="A288" s="299" t="s">
        <v>15</v>
      </c>
      <c r="B288" s="305">
        <v>0.8</v>
      </c>
      <c r="C288" s="77">
        <f>IF(B288="","",B288*'C.U. tab. riassuntiva'!$G$16)</f>
        <v>5.9488000000000012</v>
      </c>
      <c r="D288" s="77"/>
      <c r="E288" s="77">
        <f>IF(B288="","",B288*'C.U. tab. riassuntiva'!$I$16)</f>
        <v>4.5760000000000005</v>
      </c>
      <c r="F288" s="77"/>
      <c r="G288" s="3">
        <v>0.8</v>
      </c>
      <c r="H288" s="77">
        <f>IF(G288="","",G288*'C.U. tab. riassuntiva'!$G$16)</f>
        <v>5.9488000000000012</v>
      </c>
      <c r="I288" s="77"/>
      <c r="J288" s="77">
        <f>IF(G288="","",G288*'C.U. tab. riassuntiva'!$I$16)</f>
        <v>4.5760000000000005</v>
      </c>
      <c r="K288" s="77"/>
      <c r="L288" s="3">
        <v>0.8</v>
      </c>
      <c r="M288" s="77">
        <f>IF(L288="","",L288*'C.U. tab. riassuntiva'!$G$16)</f>
        <v>5.9488000000000012</v>
      </c>
      <c r="N288" s="77"/>
      <c r="O288" s="77">
        <f>IF(L288="","",L288*'C.U. tab. riassuntiva'!$I$16)</f>
        <v>4.5760000000000005</v>
      </c>
      <c r="P288" s="77"/>
      <c r="Q288" s="3">
        <v>0.8</v>
      </c>
      <c r="R288" s="77">
        <f>IF(Q288="","",Q288*'C.U. tab. riassuntiva'!$G$16)</f>
        <v>5.9488000000000012</v>
      </c>
      <c r="S288" s="77"/>
      <c r="T288" s="77">
        <f>IF(Q288="","",Q288*'C.U. tab. riassuntiva'!$I$16)</f>
        <v>4.5760000000000005</v>
      </c>
      <c r="U288" s="77"/>
    </row>
    <row r="289" spans="1:21">
      <c r="A289" s="299"/>
      <c r="C289" s="284">
        <f>SUM(C283:C288)</f>
        <v>12.526800000000001</v>
      </c>
      <c r="D289" s="284">
        <f>SUM(D283:D288)</f>
        <v>1.5</v>
      </c>
      <c r="E289" s="284">
        <f>SUM(E283:E288)</f>
        <v>9.636000000000001</v>
      </c>
      <c r="F289" s="284">
        <f>SUM(F283:F288)</f>
        <v>0.3</v>
      </c>
      <c r="G289" s="62"/>
      <c r="H289" s="284">
        <f>SUM(H283:H288)</f>
        <v>12.448800000000002</v>
      </c>
      <c r="I289" s="284">
        <f>SUM(I283:I288)</f>
        <v>2.4</v>
      </c>
      <c r="J289" s="284">
        <f>SUM(J283:J288)</f>
        <v>9.5760000000000005</v>
      </c>
      <c r="K289" s="284">
        <f>SUM(K283:K288)</f>
        <v>0.89999999999999991</v>
      </c>
      <c r="L289" s="62"/>
      <c r="M289" s="284">
        <f>SUM(M283:M288)</f>
        <v>13.423800000000002</v>
      </c>
      <c r="N289" s="284">
        <f>SUM(N283:N288)</f>
        <v>2.4</v>
      </c>
      <c r="O289" s="284">
        <f>SUM(O283:O288)</f>
        <v>10.326000000000001</v>
      </c>
      <c r="P289" s="284">
        <f>SUM(P283:P288)</f>
        <v>0.89999999999999991</v>
      </c>
      <c r="Q289" s="62"/>
      <c r="R289" s="284">
        <f>SUM(R283:R288)</f>
        <v>13.423800000000002</v>
      </c>
      <c r="S289" s="284">
        <f>SUM(S283:S288)</f>
        <v>2.4</v>
      </c>
      <c r="T289" s="284">
        <f>SUM(T283:T288)</f>
        <v>10.326000000000001</v>
      </c>
      <c r="U289" s="284">
        <f>SUM(U283:U288)</f>
        <v>0.89999999999999991</v>
      </c>
    </row>
    <row r="290" spans="1:21">
      <c r="C290" s="471">
        <f>C289+D289</f>
        <v>14.026800000000001</v>
      </c>
      <c r="D290" s="472"/>
      <c r="E290" s="471">
        <f>E289+F289</f>
        <v>9.9360000000000017</v>
      </c>
      <c r="F290" s="472"/>
      <c r="H290" s="471">
        <f>H289+I289</f>
        <v>14.848800000000002</v>
      </c>
      <c r="I290" s="471"/>
      <c r="J290" s="471">
        <f>J289+K289</f>
        <v>10.476000000000001</v>
      </c>
      <c r="K290" s="471"/>
      <c r="L290" s="314"/>
      <c r="M290" s="471">
        <f>M289+N289</f>
        <v>15.823800000000002</v>
      </c>
      <c r="N290" s="471"/>
      <c r="O290" s="471">
        <f>O289+P289</f>
        <v>11.226000000000001</v>
      </c>
      <c r="P290" s="471"/>
      <c r="Q290" s="314"/>
      <c r="R290" s="471">
        <f>R289+S289</f>
        <v>15.823800000000002</v>
      </c>
      <c r="S290" s="471"/>
      <c r="T290" s="471">
        <f>T289+U289</f>
        <v>11.226000000000001</v>
      </c>
      <c r="U290" s="471"/>
    </row>
    <row r="292" spans="1:21">
      <c r="A292" s="272" t="s">
        <v>287</v>
      </c>
      <c r="B292" s="43"/>
      <c r="C292" s="289" t="s">
        <v>293</v>
      </c>
      <c r="H292" s="289" t="s">
        <v>303</v>
      </c>
      <c r="M292" s="289" t="s">
        <v>331</v>
      </c>
      <c r="R292" s="289" t="s">
        <v>330</v>
      </c>
    </row>
    <row r="293" spans="1:21" ht="18.75">
      <c r="A293" s="303" t="s">
        <v>355</v>
      </c>
      <c r="C293" s="285" t="s">
        <v>304</v>
      </c>
      <c r="D293" s="285" t="s">
        <v>305</v>
      </c>
      <c r="E293" s="285" t="s">
        <v>306</v>
      </c>
      <c r="F293" s="286" t="s">
        <v>307</v>
      </c>
      <c r="G293" s="62"/>
      <c r="H293" s="285" t="s">
        <v>304</v>
      </c>
      <c r="I293" s="285" t="s">
        <v>305</v>
      </c>
      <c r="J293" s="285" t="s">
        <v>306</v>
      </c>
      <c r="K293" s="286" t="s">
        <v>307</v>
      </c>
      <c r="L293" s="62"/>
      <c r="M293" s="285" t="s">
        <v>304</v>
      </c>
      <c r="N293" s="285" t="s">
        <v>305</v>
      </c>
      <c r="O293" s="285" t="s">
        <v>306</v>
      </c>
      <c r="P293" s="286" t="s">
        <v>307</v>
      </c>
      <c r="Q293" s="62"/>
      <c r="R293" s="285" t="s">
        <v>304</v>
      </c>
      <c r="S293" s="285" t="s">
        <v>305</v>
      </c>
      <c r="T293" s="285" t="s">
        <v>306</v>
      </c>
      <c r="U293" s="286" t="s">
        <v>307</v>
      </c>
    </row>
    <row r="294" spans="1:21" ht="15.75">
      <c r="A294" s="303"/>
      <c r="C294" s="285"/>
      <c r="D294" s="285"/>
      <c r="E294" s="285"/>
      <c r="F294" s="286"/>
      <c r="G294" s="62"/>
      <c r="H294" s="285"/>
      <c r="I294" s="285"/>
      <c r="J294" s="285"/>
      <c r="K294" s="286"/>
      <c r="L294" s="62"/>
      <c r="M294" s="285"/>
      <c r="N294" s="285"/>
      <c r="O294" s="285"/>
      <c r="P294" s="286"/>
      <c r="Q294" s="62"/>
      <c r="R294" s="285"/>
      <c r="S294" s="285"/>
      <c r="T294" s="285"/>
      <c r="U294" s="286"/>
    </row>
    <row r="295" spans="1:21">
      <c r="A295" s="299" t="s">
        <v>288</v>
      </c>
      <c r="B295" s="304">
        <v>0.5</v>
      </c>
      <c r="C295" s="304">
        <f>IF(B295="","",B295*'C.U. tab. riassuntiva'!$G$7)</f>
        <v>2.7364999999999999</v>
      </c>
      <c r="D295" s="304">
        <f>IF(B295="","",B295*'C.U. tab. riassuntiva'!$H$7)</f>
        <v>1.5</v>
      </c>
      <c r="E295" s="304">
        <f>IF(B295="","",B295*'C.U. tab. riassuntiva'!$I$7)</f>
        <v>2.105</v>
      </c>
      <c r="F295" s="304">
        <f>IF(B295="","",B295*'C.U. tab. riassuntiva'!$J$7)</f>
        <v>0.3</v>
      </c>
      <c r="G295" s="23">
        <v>0.5</v>
      </c>
      <c r="H295" s="304">
        <f>IF(G295="","",G295*'C.U. tab. riassuntiva'!$G$4)</f>
        <v>2.6585000000000001</v>
      </c>
      <c r="I295" s="304">
        <f>IF(G295="","",G295*'C.U. tab. riassuntiva'!$H$4)</f>
        <v>2.4</v>
      </c>
      <c r="J295" s="304">
        <f>IF(G295="","",G295*'C.U. tab. riassuntiva'!$I$4)</f>
        <v>2.0449999999999999</v>
      </c>
      <c r="K295" s="304">
        <f>IF(G295="","",G295*'C.U. tab. riassuntiva'!$J$4)</f>
        <v>0.89999999999999991</v>
      </c>
      <c r="L295" s="23">
        <v>0.5</v>
      </c>
      <c r="M295" s="304">
        <f>IF(L295="","",L295*'C.U. tab. riassuntiva'!$G$4)</f>
        <v>2.6585000000000001</v>
      </c>
      <c r="N295" s="304">
        <f>IF(L295="","",L295*'C.U. tab. riassuntiva'!$H$4)</f>
        <v>2.4</v>
      </c>
      <c r="O295" s="304">
        <f>IF(L295="","",L295*'C.U. tab. riassuntiva'!$I$4)</f>
        <v>2.0449999999999999</v>
      </c>
      <c r="P295" s="304">
        <f>IF(L295="","",L295*'C.U. tab. riassuntiva'!$J$4)</f>
        <v>0.89999999999999991</v>
      </c>
      <c r="Q295" s="23">
        <v>0.5</v>
      </c>
      <c r="R295" s="304">
        <f>IF(Q295="","",Q295*'C.U. tab. riassuntiva'!$G$4)</f>
        <v>2.6585000000000001</v>
      </c>
      <c r="S295" s="304">
        <f>IF(Q295="","",Q295*'C.U. tab. riassuntiva'!$H$4)</f>
        <v>2.4</v>
      </c>
      <c r="T295" s="304">
        <f>IF(Q295="","",Q295*'C.U. tab. riassuntiva'!$I$4)</f>
        <v>2.0449999999999999</v>
      </c>
      <c r="U295" s="304">
        <f>IF(Q295="","",Q295*'C.U. tab. riassuntiva'!$J$4)</f>
        <v>0.89999999999999991</v>
      </c>
    </row>
    <row r="296" spans="1:21">
      <c r="A296" s="299" t="s">
        <v>289</v>
      </c>
      <c r="B296" s="305"/>
      <c r="C296" s="304" t="str">
        <f>IF(B296="","",B296*'C.U. tab. riassuntiva'!$G$9)</f>
        <v/>
      </c>
      <c r="D296" s="304" t="str">
        <f>IF(B296="","",B296*'C.U. tab. riassuntiva'!$H$9)</f>
        <v/>
      </c>
      <c r="E296" s="304" t="str">
        <f>IF(B296="","",B296*'C.U. tab. riassuntiva'!$I$9)</f>
        <v/>
      </c>
      <c r="F296" s="304" t="str">
        <f>IF(B296="","",B296*'C.U. tab. riassuntiva'!$J$9)</f>
        <v/>
      </c>
      <c r="G296" s="3"/>
      <c r="H296" s="304" t="str">
        <f>IF(G296="","",G296*'C.U. tab. riassuntiva'!$G$10)</f>
        <v/>
      </c>
      <c r="I296" s="304" t="str">
        <f>IF(G296="","",G296*'C.U. tab. riassuntiva'!$H$10)</f>
        <v/>
      </c>
      <c r="J296" s="304" t="str">
        <f>IF(G296="","",G296*'C.U. tab. riassuntiva'!$I$10)</f>
        <v/>
      </c>
      <c r="K296" s="304" t="str">
        <f>IF(G296="","",G296*'C.U. tab. riassuntiva'!$J$10)</f>
        <v/>
      </c>
      <c r="L296" s="3"/>
      <c r="M296" s="304" t="str">
        <f>IF(L296="","",L296*'C.U. tab. riassuntiva'!$G$10)</f>
        <v/>
      </c>
      <c r="N296" s="304" t="str">
        <f>IF(L296="","",L296*'C.U. tab. riassuntiva'!$H$10)</f>
        <v/>
      </c>
      <c r="O296" s="304" t="str">
        <f>IF(L296="","",L296*'C.U. tab. riassuntiva'!$I$10)</f>
        <v/>
      </c>
      <c r="P296" s="304" t="str">
        <f>IF(L296="","",L296*'C.U. tab. riassuntiva'!$J$10)</f>
        <v/>
      </c>
      <c r="Q296" s="3"/>
      <c r="R296" s="304" t="str">
        <f>IF(Q296="","",Q296*'C.U. tab. riassuntiva'!$G$10)</f>
        <v/>
      </c>
      <c r="S296" s="304" t="str">
        <f>IF(Q296="","",Q296*'C.U. tab. riassuntiva'!$H$10)</f>
        <v/>
      </c>
      <c r="T296" s="304" t="str">
        <f>IF(Q296="","",Q296*'C.U. tab. riassuntiva'!$I$10)</f>
        <v/>
      </c>
      <c r="U296" s="304" t="str">
        <f>IF(Q296="","",Q296*'C.U. tab. riassuntiva'!$J$10)</f>
        <v/>
      </c>
    </row>
    <row r="297" spans="1:21">
      <c r="A297" s="299" t="s">
        <v>290</v>
      </c>
      <c r="B297" s="305"/>
      <c r="C297" s="304" t="str">
        <f>IF(B297="","",B297*'C.U. tab. riassuntiva'!$G$11)</f>
        <v/>
      </c>
      <c r="D297" s="304" t="str">
        <f>IF(B297="","",B297*'C.U. tab. riassuntiva'!$H$11)</f>
        <v/>
      </c>
      <c r="E297" s="304" t="str">
        <f>IF(B297="","",B297*'C.U. tab. riassuntiva'!$I$11)</f>
        <v/>
      </c>
      <c r="F297" s="304" t="str">
        <f>IF(B297="","",B297*'C.U. tab. riassuntiva'!$J$11)</f>
        <v/>
      </c>
      <c r="G297" s="3"/>
      <c r="H297" s="304" t="str">
        <f>IF(G297="","",G297*'C.U. tab. riassuntiva'!$G$11)</f>
        <v/>
      </c>
      <c r="I297" s="304" t="str">
        <f>IF(G297="","",G297*'C.U. tab. riassuntiva'!$H$11)</f>
        <v/>
      </c>
      <c r="J297" s="304" t="str">
        <f>IF(G297="","",G297*'C.U. tab. riassuntiva'!$I$11)</f>
        <v/>
      </c>
      <c r="K297" s="304" t="str">
        <f>IF(G297="","",G297*'C.U. tab. riassuntiva'!$J$11)</f>
        <v/>
      </c>
      <c r="L297" s="3"/>
      <c r="M297" s="304" t="str">
        <f>IF(L297="","",L297*'C.U. tab. riassuntiva'!$G$11)</f>
        <v/>
      </c>
      <c r="N297" s="304" t="str">
        <f>IF(L297="","",L297*'C.U. tab. riassuntiva'!$H$11)</f>
        <v/>
      </c>
      <c r="O297" s="304" t="str">
        <f>IF(L297="","",L297*'C.U. tab. riassuntiva'!$I$11)</f>
        <v/>
      </c>
      <c r="P297" s="304" t="str">
        <f>IF(L297="","",L297*'C.U. tab. riassuntiva'!$J$11)</f>
        <v/>
      </c>
      <c r="Q297" s="3"/>
      <c r="R297" s="304" t="str">
        <f>IF(Q297="","",Q297*'C.U. tab. riassuntiva'!$G$11)</f>
        <v/>
      </c>
      <c r="S297" s="304" t="str">
        <f>IF(Q297="","",Q297*'C.U. tab. riassuntiva'!$H$11)</f>
        <v/>
      </c>
      <c r="T297" s="304" t="str">
        <f>IF(Q297="","",Q297*'C.U. tab. riassuntiva'!$I$11)</f>
        <v/>
      </c>
      <c r="U297" s="304" t="str">
        <f>IF(Q297="","",Q297*'C.U. tab. riassuntiva'!$J$11)</f>
        <v/>
      </c>
    </row>
    <row r="298" spans="1:21">
      <c r="A298" s="299" t="s">
        <v>291</v>
      </c>
      <c r="B298" s="305">
        <v>1</v>
      </c>
      <c r="C298" s="304">
        <f>IF(B298="","",B298*'C.U. tab. riassuntiva'!$G$12)</f>
        <v>3.8415000000000004</v>
      </c>
      <c r="D298" s="304"/>
      <c r="E298" s="304">
        <f>IF(B298="","",B298*'C.U. tab. riassuntiva'!$I$12)</f>
        <v>2.9550000000000001</v>
      </c>
      <c r="F298" s="304"/>
      <c r="G298" s="3">
        <v>1</v>
      </c>
      <c r="H298" s="304">
        <f>IF(G298="","",G298*'C.U. tab. riassuntiva'!$G$12)</f>
        <v>3.8415000000000004</v>
      </c>
      <c r="I298" s="304"/>
      <c r="J298" s="304">
        <f>IF(G298="","",G298*'C.U. tab. riassuntiva'!$I$12)</f>
        <v>2.9550000000000001</v>
      </c>
      <c r="K298" s="304"/>
      <c r="L298" s="3">
        <v>1</v>
      </c>
      <c r="M298" s="304">
        <f>IF(L298="","",L298*'C.U. tab. riassuntiva'!$G$13)</f>
        <v>4.8165000000000004</v>
      </c>
      <c r="N298" s="304"/>
      <c r="O298" s="304">
        <f>IF(L298="","",L298*'C.U. tab. riassuntiva'!$I$13)</f>
        <v>3.7050000000000001</v>
      </c>
      <c r="P298" s="304"/>
      <c r="Q298" s="3">
        <v>1</v>
      </c>
      <c r="R298" s="304">
        <f>IF(Q298="","",Q298*'C.U. tab. riassuntiva'!$G$13)</f>
        <v>4.8165000000000004</v>
      </c>
      <c r="S298" s="304"/>
      <c r="T298" s="304">
        <f>IF(Q298="","",Q298*'C.U. tab. riassuntiva'!$I$13)</f>
        <v>3.7050000000000001</v>
      </c>
      <c r="U298" s="304"/>
    </row>
    <row r="299" spans="1:21">
      <c r="A299" s="299" t="s">
        <v>292</v>
      </c>
      <c r="B299" s="305"/>
      <c r="C299" s="304" t="str">
        <f>IF(B299="","",B299*'C.U. tab. riassuntiva'!$G$14)</f>
        <v/>
      </c>
      <c r="D299" s="304"/>
      <c r="E299" s="304" t="str">
        <f>IF(B299="","",B299*'C.U. tab. riassuntiva'!$I$14)</f>
        <v/>
      </c>
      <c r="F299" s="304"/>
      <c r="G299" s="3"/>
      <c r="H299" s="304" t="str">
        <f>IF(G299="","",G299*'C.U. tab. riassuntiva'!$G$14)</f>
        <v/>
      </c>
      <c r="I299" s="304"/>
      <c r="J299" s="304" t="str">
        <f>IF(G299="","",G299*'C.U. tab. riassuntiva'!$I$14)</f>
        <v/>
      </c>
      <c r="K299" s="304"/>
      <c r="L299" s="3"/>
      <c r="M299" s="304" t="str">
        <f>IF(L299="","",L299*'C.U. tab. riassuntiva'!$G$14)</f>
        <v/>
      </c>
      <c r="N299" s="304"/>
      <c r="O299" s="304" t="str">
        <f>IF(L299="","",L299*'C.U. tab. riassuntiva'!$I$14)</f>
        <v/>
      </c>
      <c r="P299" s="304"/>
      <c r="Q299" s="3"/>
      <c r="R299" s="304" t="str">
        <f>IF(Q299="","",Q299*'C.U. tab. riassuntiva'!$G$14)</f>
        <v/>
      </c>
      <c r="S299" s="304"/>
      <c r="T299" s="304" t="str">
        <f>IF(Q299="","",Q299*'C.U. tab. riassuntiva'!$I$14)</f>
        <v/>
      </c>
      <c r="U299" s="304"/>
    </row>
    <row r="300" spans="1:21">
      <c r="A300" s="299" t="s">
        <v>15</v>
      </c>
      <c r="B300" s="305">
        <v>1</v>
      </c>
      <c r="C300" s="77">
        <f>IF(B300="","",B300*'C.U. tab. riassuntiva'!$G$16)</f>
        <v>7.4360000000000008</v>
      </c>
      <c r="D300" s="77"/>
      <c r="E300" s="77">
        <f>IF(B300="","",B300*'C.U. tab. riassuntiva'!$I$16)</f>
        <v>5.7200000000000006</v>
      </c>
      <c r="F300" s="77"/>
      <c r="G300" s="3">
        <v>1</v>
      </c>
      <c r="H300" s="77">
        <f>IF(G300="","",G300*'C.U. tab. riassuntiva'!$G$16)</f>
        <v>7.4360000000000008</v>
      </c>
      <c r="I300" s="77"/>
      <c r="J300" s="77">
        <f>IF(G300="","",G300*'C.U. tab. riassuntiva'!$I$16)</f>
        <v>5.7200000000000006</v>
      </c>
      <c r="K300" s="77"/>
      <c r="L300" s="3">
        <v>1</v>
      </c>
      <c r="M300" s="77">
        <f>IF(L300="","",L300*'C.U. tab. riassuntiva'!$G$16)</f>
        <v>7.4360000000000008</v>
      </c>
      <c r="N300" s="77"/>
      <c r="O300" s="77">
        <f>IF(L300="","",L300*'C.U. tab. riassuntiva'!$I$16)</f>
        <v>5.7200000000000006</v>
      </c>
      <c r="P300" s="77"/>
      <c r="Q300" s="3">
        <v>1</v>
      </c>
      <c r="R300" s="77">
        <f>IF(Q300="","",Q300*'C.U. tab. riassuntiva'!$G$16)</f>
        <v>7.4360000000000008</v>
      </c>
      <c r="S300" s="77"/>
      <c r="T300" s="77">
        <f>IF(Q300="","",Q300*'C.U. tab. riassuntiva'!$I$16)</f>
        <v>5.7200000000000006</v>
      </c>
      <c r="U300" s="77"/>
    </row>
    <row r="301" spans="1:21">
      <c r="A301" s="299"/>
      <c r="C301" s="284">
        <f>SUM(C295:C300)</f>
        <v>14.014000000000001</v>
      </c>
      <c r="D301" s="284">
        <f>SUM(D295:D300)</f>
        <v>1.5</v>
      </c>
      <c r="E301" s="284">
        <f>SUM(E295:E300)</f>
        <v>10.780000000000001</v>
      </c>
      <c r="F301" s="284">
        <f>SUM(F295:F300)</f>
        <v>0.3</v>
      </c>
      <c r="G301" s="62"/>
      <c r="H301" s="284">
        <f>SUM(H295:H300)</f>
        <v>13.936</v>
      </c>
      <c r="I301" s="284">
        <f>SUM(I295:I300)</f>
        <v>2.4</v>
      </c>
      <c r="J301" s="284">
        <f>SUM(J295:J300)</f>
        <v>10.72</v>
      </c>
      <c r="K301" s="284">
        <f>SUM(K295:K300)</f>
        <v>0.89999999999999991</v>
      </c>
      <c r="L301" s="62"/>
      <c r="M301" s="284">
        <f>SUM(M295:M300)</f>
        <v>14.911000000000001</v>
      </c>
      <c r="N301" s="284">
        <f>SUM(N295:N300)</f>
        <v>2.4</v>
      </c>
      <c r="O301" s="284">
        <f>SUM(O295:O300)</f>
        <v>11.47</v>
      </c>
      <c r="P301" s="284">
        <f>SUM(P295:P300)</f>
        <v>0.89999999999999991</v>
      </c>
      <c r="Q301" s="62"/>
      <c r="R301" s="284">
        <f>SUM(R295:R300)</f>
        <v>14.911000000000001</v>
      </c>
      <c r="S301" s="284">
        <f>SUM(S295:S300)</f>
        <v>2.4</v>
      </c>
      <c r="T301" s="284">
        <f>SUM(T295:T300)</f>
        <v>11.47</v>
      </c>
      <c r="U301" s="284">
        <f>SUM(U295:U300)</f>
        <v>0.89999999999999991</v>
      </c>
    </row>
    <row r="302" spans="1:21">
      <c r="C302" s="471">
        <f>C301+D301</f>
        <v>15.514000000000001</v>
      </c>
      <c r="D302" s="472"/>
      <c r="E302" s="471">
        <f>E301+F301</f>
        <v>11.080000000000002</v>
      </c>
      <c r="F302" s="472"/>
      <c r="H302" s="471">
        <f>H301+I301</f>
        <v>16.335999999999999</v>
      </c>
      <c r="I302" s="471"/>
      <c r="J302" s="471">
        <f>J301+K301</f>
        <v>11.620000000000001</v>
      </c>
      <c r="K302" s="471"/>
      <c r="L302" s="314"/>
      <c r="M302" s="471">
        <f>M301+N301</f>
        <v>17.311</v>
      </c>
      <c r="N302" s="471"/>
      <c r="O302" s="471">
        <f>O301+P301</f>
        <v>12.370000000000001</v>
      </c>
      <c r="P302" s="471"/>
      <c r="Q302" s="314"/>
      <c r="R302" s="471">
        <f>R301+S301</f>
        <v>17.311</v>
      </c>
      <c r="S302" s="471"/>
      <c r="T302" s="471">
        <f>T301+U301</f>
        <v>12.370000000000001</v>
      </c>
      <c r="U302" s="471"/>
    </row>
    <row r="305" spans="1:21">
      <c r="A305" s="316" t="s">
        <v>356</v>
      </c>
      <c r="C305" s="289" t="s">
        <v>293</v>
      </c>
      <c r="H305" s="289" t="s">
        <v>303</v>
      </c>
      <c r="M305" s="289" t="s">
        <v>331</v>
      </c>
      <c r="R305" s="289" t="s">
        <v>330</v>
      </c>
    </row>
    <row r="306" spans="1:21" ht="18.75">
      <c r="A306" s="272"/>
      <c r="B306" s="62"/>
      <c r="C306" s="285" t="s">
        <v>304</v>
      </c>
      <c r="D306" s="285" t="s">
        <v>305</v>
      </c>
      <c r="E306" s="285" t="s">
        <v>306</v>
      </c>
      <c r="F306" s="286" t="s">
        <v>307</v>
      </c>
      <c r="G306" s="62"/>
      <c r="H306" s="285" t="s">
        <v>304</v>
      </c>
      <c r="I306" s="285" t="s">
        <v>305</v>
      </c>
      <c r="J306" s="285" t="s">
        <v>306</v>
      </c>
      <c r="K306" s="286" t="s">
        <v>307</v>
      </c>
      <c r="L306" s="62"/>
      <c r="M306" s="285" t="s">
        <v>304</v>
      </c>
      <c r="N306" s="285" t="s">
        <v>305</v>
      </c>
      <c r="O306" s="285" t="s">
        <v>306</v>
      </c>
      <c r="P306" s="286" t="s">
        <v>307</v>
      </c>
      <c r="Q306" s="62"/>
      <c r="R306" s="285" t="s">
        <v>304</v>
      </c>
      <c r="S306" s="285" t="s">
        <v>305</v>
      </c>
      <c r="T306" s="285" t="s">
        <v>306</v>
      </c>
      <c r="U306" s="286" t="s">
        <v>307</v>
      </c>
    </row>
    <row r="307" spans="1:21">
      <c r="A307" s="303"/>
      <c r="G307" s="62"/>
      <c r="L307" s="62"/>
      <c r="Q307" s="62"/>
    </row>
    <row r="308" spans="1:21">
      <c r="A308" s="299" t="s">
        <v>288</v>
      </c>
      <c r="B308" s="304">
        <v>1</v>
      </c>
      <c r="C308" s="304">
        <f>IF(B308="","",B308*'C.U. tab. riassuntiva'!$G$7)</f>
        <v>5.4729999999999999</v>
      </c>
      <c r="D308" s="304">
        <f>IF(B308="","",B308*'C.U. tab. riassuntiva'!$H$7)</f>
        <v>3</v>
      </c>
      <c r="E308" s="304">
        <f>IF(B308="","",B308*'C.U. tab. riassuntiva'!$I$7)</f>
        <v>4.21</v>
      </c>
      <c r="F308" s="304">
        <f>IF(B308="","",B308*'C.U. tab. riassuntiva'!$J$7)</f>
        <v>0.6</v>
      </c>
      <c r="G308" s="23">
        <v>1</v>
      </c>
      <c r="H308" s="304">
        <f>IF(G308="","",G308*'C.U. tab. riassuntiva'!$G$4)</f>
        <v>5.3170000000000002</v>
      </c>
      <c r="I308" s="304">
        <f>IF(G308="","",G308*'C.U. tab. riassuntiva'!$H$4)</f>
        <v>4.8</v>
      </c>
      <c r="J308" s="304">
        <f>IF(G308="","",G308*'C.U. tab. riassuntiva'!$I$4)</f>
        <v>4.09</v>
      </c>
      <c r="K308" s="304">
        <f>IF(G308="","",G308*'C.U. tab. riassuntiva'!$J$4)</f>
        <v>1.7999999999999998</v>
      </c>
      <c r="L308" s="23">
        <v>1</v>
      </c>
      <c r="M308" s="304">
        <f>IF(L308="","",L308*'C.U. tab. riassuntiva'!$G$4)</f>
        <v>5.3170000000000002</v>
      </c>
      <c r="N308" s="304">
        <f>IF(L308="","",L308*'C.U. tab. riassuntiva'!$H$4)</f>
        <v>4.8</v>
      </c>
      <c r="O308" s="304">
        <f>IF(L308="","",L308*'C.U. tab. riassuntiva'!$I$4)</f>
        <v>4.09</v>
      </c>
      <c r="P308" s="304">
        <f>IF(L308="","",L308*'C.U. tab. riassuntiva'!$J$4)</f>
        <v>1.7999999999999998</v>
      </c>
      <c r="Q308" s="23">
        <v>1</v>
      </c>
      <c r="R308" s="304">
        <f>IF(Q308="","",Q308*'C.U. tab. riassuntiva'!$G$4)</f>
        <v>5.3170000000000002</v>
      </c>
      <c r="S308" s="304">
        <f>IF(Q308="","",Q308*'C.U. tab. riassuntiva'!$H$4)</f>
        <v>4.8</v>
      </c>
      <c r="T308" s="304">
        <f>IF(Q308="","",Q308*'C.U. tab. riassuntiva'!$I$4)</f>
        <v>4.09</v>
      </c>
      <c r="U308" s="304">
        <f>IF(Q308="","",Q308*'C.U. tab. riassuntiva'!$J$4)</f>
        <v>1.7999999999999998</v>
      </c>
    </row>
    <row r="309" spans="1:21">
      <c r="A309" s="299" t="s">
        <v>289</v>
      </c>
      <c r="B309" s="305"/>
      <c r="C309" s="304" t="str">
        <f>IF(B309="","",B309*'C.U. tab. riassuntiva'!$G$9)</f>
        <v/>
      </c>
      <c r="D309" s="304" t="str">
        <f>IF(B309="","",B309*'C.U. tab. riassuntiva'!$H$9)</f>
        <v/>
      </c>
      <c r="E309" s="304" t="str">
        <f>IF(B309="","",B309*'C.U. tab. riassuntiva'!$I$9)</f>
        <v/>
      </c>
      <c r="F309" s="304" t="str">
        <f>IF(B309="","",B309*'C.U. tab. riassuntiva'!$J$9)</f>
        <v/>
      </c>
      <c r="G309" s="3"/>
      <c r="H309" s="304" t="str">
        <f>IF(G309="","",G309*'C.U. tab. riassuntiva'!$G$10)</f>
        <v/>
      </c>
      <c r="I309" s="304" t="str">
        <f>IF(G309="","",G309*'C.U. tab. riassuntiva'!$H$10)</f>
        <v/>
      </c>
      <c r="J309" s="304" t="str">
        <f>IF(G309="","",G309*'C.U. tab. riassuntiva'!$I$10)</f>
        <v/>
      </c>
      <c r="K309" s="304" t="str">
        <f>IF(G309="","",G309*'C.U. tab. riassuntiva'!$J$10)</f>
        <v/>
      </c>
      <c r="L309" s="3"/>
      <c r="M309" s="304" t="str">
        <f>IF(L309="","",L309*'C.U. tab. riassuntiva'!$G$10)</f>
        <v/>
      </c>
      <c r="N309" s="304" t="str">
        <f>IF(L309="","",L309*'C.U. tab. riassuntiva'!$H$10)</f>
        <v/>
      </c>
      <c r="O309" s="304" t="str">
        <f>IF(L309="","",L309*'C.U. tab. riassuntiva'!$I$10)</f>
        <v/>
      </c>
      <c r="P309" s="304" t="str">
        <f>IF(L309="","",L309*'C.U. tab. riassuntiva'!$J$10)</f>
        <v/>
      </c>
      <c r="Q309" s="3"/>
      <c r="R309" s="304" t="str">
        <f>IF(Q309="","",Q309*'C.U. tab. riassuntiva'!$G$10)</f>
        <v/>
      </c>
      <c r="S309" s="304" t="str">
        <f>IF(Q309="","",Q309*'C.U. tab. riassuntiva'!$H$10)</f>
        <v/>
      </c>
      <c r="T309" s="304" t="str">
        <f>IF(Q309="","",Q309*'C.U. tab. riassuntiva'!$I$10)</f>
        <v/>
      </c>
      <c r="U309" s="304" t="str">
        <f>IF(Q309="","",Q309*'C.U. tab. riassuntiva'!$J$10)</f>
        <v/>
      </c>
    </row>
    <row r="310" spans="1:21">
      <c r="A310" s="299" t="s">
        <v>290</v>
      </c>
      <c r="B310" s="305"/>
      <c r="C310" s="304" t="str">
        <f>IF(B310="","",B310*'C.U. tab. riassuntiva'!$G$11)</f>
        <v/>
      </c>
      <c r="D310" s="304" t="str">
        <f>IF(B310="","",B310*'C.U. tab. riassuntiva'!$H$11)</f>
        <v/>
      </c>
      <c r="E310" s="304" t="str">
        <f>IF(B310="","",B310*'C.U. tab. riassuntiva'!$I$11)</f>
        <v/>
      </c>
      <c r="F310" s="304" t="str">
        <f>IF(B310="","",B310*'C.U. tab. riassuntiva'!$J$11)</f>
        <v/>
      </c>
      <c r="G310" s="3"/>
      <c r="H310" s="304" t="str">
        <f>IF(G310="","",G310*'C.U. tab. riassuntiva'!$G$11)</f>
        <v/>
      </c>
      <c r="I310" s="304" t="str">
        <f>IF(G310="","",G310*'C.U. tab. riassuntiva'!$H$11)</f>
        <v/>
      </c>
      <c r="J310" s="304" t="str">
        <f>IF(G310="","",G310*'C.U. tab. riassuntiva'!$I$11)</f>
        <v/>
      </c>
      <c r="K310" s="304" t="str">
        <f>IF(G310="","",G310*'C.U. tab. riassuntiva'!$J$11)</f>
        <v/>
      </c>
      <c r="L310" s="3"/>
      <c r="M310" s="304" t="str">
        <f>IF(L310="","",L310*'C.U. tab. riassuntiva'!$G$11)</f>
        <v/>
      </c>
      <c r="N310" s="304" t="str">
        <f>IF(L310="","",L310*'C.U. tab. riassuntiva'!$H$11)</f>
        <v/>
      </c>
      <c r="O310" s="304" t="str">
        <f>IF(L310="","",L310*'C.U. tab. riassuntiva'!$I$11)</f>
        <v/>
      </c>
      <c r="P310" s="304" t="str">
        <f>IF(L310="","",L310*'C.U. tab. riassuntiva'!$J$11)</f>
        <v/>
      </c>
      <c r="Q310" s="3"/>
      <c r="R310" s="304" t="str">
        <f>IF(Q310="","",Q310*'C.U. tab. riassuntiva'!$G$11)</f>
        <v/>
      </c>
      <c r="S310" s="304" t="str">
        <f>IF(Q310="","",Q310*'C.U. tab. riassuntiva'!$H$11)</f>
        <v/>
      </c>
      <c r="T310" s="304" t="str">
        <f>IF(Q310="","",Q310*'C.U. tab. riassuntiva'!$I$11)</f>
        <v/>
      </c>
      <c r="U310" s="304" t="str">
        <f>IF(Q310="","",Q310*'C.U. tab. riassuntiva'!$J$11)</f>
        <v/>
      </c>
    </row>
    <row r="311" spans="1:21">
      <c r="A311" s="299" t="s">
        <v>291</v>
      </c>
      <c r="B311" s="305"/>
      <c r="C311" s="304" t="str">
        <f>IF(B311="","",B311*'C.U. tab. riassuntiva'!$G$12)</f>
        <v/>
      </c>
      <c r="D311" s="304"/>
      <c r="E311" s="304" t="str">
        <f>IF(B311="","",B311*'C.U. tab. riassuntiva'!$I$12)</f>
        <v/>
      </c>
      <c r="F311" s="304"/>
      <c r="G311" s="3"/>
      <c r="H311" s="304" t="str">
        <f>IF(G311="","",G311*'C.U. tab. riassuntiva'!$G$12)</f>
        <v/>
      </c>
      <c r="I311" s="304"/>
      <c r="J311" s="304" t="str">
        <f>IF(G311="","",G311*'C.U. tab. riassuntiva'!$I$12)</f>
        <v/>
      </c>
      <c r="K311" s="304"/>
      <c r="L311" s="3"/>
      <c r="M311" s="304" t="str">
        <f>IF(L311="","",L311*'C.U. tab. riassuntiva'!$G$13)</f>
        <v/>
      </c>
      <c r="N311" s="304"/>
      <c r="O311" s="304" t="str">
        <f>IF(L311="","",L311*'C.U. tab. riassuntiva'!$I$13)</f>
        <v/>
      </c>
      <c r="P311" s="304"/>
      <c r="Q311" s="3"/>
      <c r="R311" s="304" t="str">
        <f>IF(Q311="","",Q311*'C.U. tab. riassuntiva'!$G$13)</f>
        <v/>
      </c>
      <c r="S311" s="304"/>
      <c r="T311" s="304" t="str">
        <f>IF(Q311="","",Q311*'C.U. tab. riassuntiva'!$I$13)</f>
        <v/>
      </c>
      <c r="U311" s="304"/>
    </row>
    <row r="312" spans="1:21">
      <c r="A312" s="299" t="s">
        <v>292</v>
      </c>
      <c r="B312" s="305">
        <v>1</v>
      </c>
      <c r="C312" s="304">
        <f>IF(B312="","",B312*'C.U. tab. riassuntiva'!$G$14)</f>
        <v>3.9715000000000003</v>
      </c>
      <c r="D312" s="304"/>
      <c r="E312" s="304">
        <f>IF(B312="","",B312*'C.U. tab. riassuntiva'!$I$14)</f>
        <v>3.0550000000000002</v>
      </c>
      <c r="F312" s="304"/>
      <c r="G312" s="3">
        <v>1</v>
      </c>
      <c r="H312" s="304">
        <f>IF(G312="","",G312*'C.U. tab. riassuntiva'!$G$14)</f>
        <v>3.9715000000000003</v>
      </c>
      <c r="I312" s="304"/>
      <c r="J312" s="304">
        <f>IF(G312="","",G312*'C.U. tab. riassuntiva'!$I$14)</f>
        <v>3.0550000000000002</v>
      </c>
      <c r="K312" s="304"/>
      <c r="L312" s="3">
        <v>1</v>
      </c>
      <c r="M312" s="304">
        <f>IF(L312="","",L312*'C.U. tab. riassuntiva'!$G$14)</f>
        <v>3.9715000000000003</v>
      </c>
      <c r="N312" s="304"/>
      <c r="O312" s="304">
        <f>IF(L312="","",L312*'C.U. tab. riassuntiva'!$I$14)</f>
        <v>3.0550000000000002</v>
      </c>
      <c r="P312" s="304"/>
      <c r="Q312" s="3">
        <v>1</v>
      </c>
      <c r="R312" s="304">
        <f>IF(Q312="","",Q312*'C.U. tab. riassuntiva'!$G$14)</f>
        <v>3.9715000000000003</v>
      </c>
      <c r="S312" s="304"/>
      <c r="T312" s="304">
        <f>IF(Q312="","",Q312*'C.U. tab. riassuntiva'!$I$14)</f>
        <v>3.0550000000000002</v>
      </c>
      <c r="U312" s="304"/>
    </row>
    <row r="313" spans="1:21">
      <c r="A313" s="299" t="s">
        <v>15</v>
      </c>
      <c r="B313" s="305"/>
      <c r="C313" s="77" t="str">
        <f>IF(B313="","",B313*'C.U. tab. riassuntiva'!$G$16)</f>
        <v/>
      </c>
      <c r="D313" s="77"/>
      <c r="E313" s="77" t="str">
        <f>IF(B313="","",B313*'C.U. tab. riassuntiva'!$I$16)</f>
        <v/>
      </c>
      <c r="F313" s="77"/>
      <c r="G313" s="3"/>
      <c r="H313" s="77" t="str">
        <f>IF(G313="","",G313*'C.U. tab. riassuntiva'!$G$16)</f>
        <v/>
      </c>
      <c r="I313" s="77"/>
      <c r="J313" s="77" t="str">
        <f>IF(G313="","",G313*'C.U. tab. riassuntiva'!$I$16)</f>
        <v/>
      </c>
      <c r="K313" s="77"/>
      <c r="L313" s="3"/>
      <c r="M313" s="77" t="str">
        <f>IF(L313="","",L313*'C.U. tab. riassuntiva'!$G$16)</f>
        <v/>
      </c>
      <c r="N313" s="77"/>
      <c r="O313" s="77" t="str">
        <f>IF(L313="","",L313*'C.U. tab. riassuntiva'!$I$16)</f>
        <v/>
      </c>
      <c r="P313" s="77"/>
      <c r="Q313" s="3"/>
      <c r="R313" s="77" t="str">
        <f>IF(Q313="","",Q313*'C.U. tab. riassuntiva'!$G$16)</f>
        <v/>
      </c>
      <c r="S313" s="77"/>
      <c r="T313" s="77" t="str">
        <f>IF(Q313="","",Q313*'C.U. tab. riassuntiva'!$I$16)</f>
        <v/>
      </c>
      <c r="U313" s="77"/>
    </row>
    <row r="314" spans="1:21">
      <c r="A314" s="299"/>
      <c r="C314" s="284">
        <f>SUM(C308:C313)</f>
        <v>9.4444999999999997</v>
      </c>
      <c r="D314" s="284">
        <f>SUM(D308:D313)</f>
        <v>3</v>
      </c>
      <c r="E314" s="284">
        <f>SUM(E308:E313)</f>
        <v>7.2650000000000006</v>
      </c>
      <c r="F314" s="284">
        <f>SUM(F308:F313)</f>
        <v>0.6</v>
      </c>
      <c r="G314" s="62"/>
      <c r="H314" s="284">
        <f>SUM(H308:H313)</f>
        <v>9.2885000000000009</v>
      </c>
      <c r="I314" s="284">
        <f>SUM(I308:I313)</f>
        <v>4.8</v>
      </c>
      <c r="J314" s="284">
        <f>SUM(J308:J313)</f>
        <v>7.1449999999999996</v>
      </c>
      <c r="K314" s="284">
        <f>SUM(K308:K313)</f>
        <v>1.7999999999999998</v>
      </c>
      <c r="L314" s="62"/>
      <c r="M314" s="284">
        <f>SUM(M308:M313)</f>
        <v>9.2885000000000009</v>
      </c>
      <c r="N314" s="284">
        <f>SUM(N308:N313)</f>
        <v>4.8</v>
      </c>
      <c r="O314" s="284">
        <f>SUM(O308:O313)</f>
        <v>7.1449999999999996</v>
      </c>
      <c r="P314" s="284">
        <f>SUM(P308:P313)</f>
        <v>1.7999999999999998</v>
      </c>
      <c r="Q314" s="62"/>
      <c r="R314" s="284">
        <f>SUM(R308:R313)</f>
        <v>9.2885000000000009</v>
      </c>
      <c r="S314" s="284">
        <f>SUM(S308:S313)</f>
        <v>4.8</v>
      </c>
      <c r="T314" s="284">
        <f>SUM(T308:T313)</f>
        <v>7.1449999999999996</v>
      </c>
      <c r="U314" s="284">
        <f>SUM(U308:U313)</f>
        <v>1.7999999999999998</v>
      </c>
    </row>
    <row r="315" spans="1:21">
      <c r="C315" s="471">
        <f>C314+D314</f>
        <v>12.4445</v>
      </c>
      <c r="D315" s="472"/>
      <c r="E315" s="471">
        <f>E314+F314</f>
        <v>7.8650000000000002</v>
      </c>
      <c r="F315" s="472"/>
      <c r="H315" s="471">
        <f>H314+I314</f>
        <v>14.0885</v>
      </c>
      <c r="I315" s="471"/>
      <c r="J315" s="471">
        <f>J314+K314</f>
        <v>8.9450000000000003</v>
      </c>
      <c r="K315" s="471"/>
      <c r="L315" s="314"/>
      <c r="M315" s="471">
        <f>M314+N314</f>
        <v>14.0885</v>
      </c>
      <c r="N315" s="471"/>
      <c r="O315" s="471">
        <f>O314+P314</f>
        <v>8.9450000000000003</v>
      </c>
      <c r="P315" s="471"/>
      <c r="Q315" s="314"/>
      <c r="R315" s="471">
        <f>R314+S314</f>
        <v>14.0885</v>
      </c>
      <c r="S315" s="471"/>
      <c r="T315" s="471">
        <f>T314+U314</f>
        <v>8.9450000000000003</v>
      </c>
      <c r="U315" s="471"/>
    </row>
  </sheetData>
  <mergeCells count="200">
    <mergeCell ref="H302:I302"/>
    <mergeCell ref="J302:K302"/>
    <mergeCell ref="M302:N302"/>
    <mergeCell ref="R302:S302"/>
    <mergeCell ref="T302:U302"/>
    <mergeCell ref="H277:I277"/>
    <mergeCell ref="J277:K277"/>
    <mergeCell ref="M277:N277"/>
    <mergeCell ref="O277:P277"/>
    <mergeCell ref="R277:S277"/>
    <mergeCell ref="T277:U277"/>
    <mergeCell ref="H290:I290"/>
    <mergeCell ref="J290:K290"/>
    <mergeCell ref="M290:N290"/>
    <mergeCell ref="O290:P290"/>
    <mergeCell ref="R290:S290"/>
    <mergeCell ref="T290:U290"/>
    <mergeCell ref="J251:K251"/>
    <mergeCell ref="M251:N251"/>
    <mergeCell ref="O251:P251"/>
    <mergeCell ref="R251:S251"/>
    <mergeCell ref="T251:U251"/>
    <mergeCell ref="H264:I264"/>
    <mergeCell ref="J264:K264"/>
    <mergeCell ref="M264:N264"/>
    <mergeCell ref="O264:P264"/>
    <mergeCell ref="R264:S264"/>
    <mergeCell ref="T264:U264"/>
    <mergeCell ref="R176:S176"/>
    <mergeCell ref="T176:U176"/>
    <mergeCell ref="H188:I188"/>
    <mergeCell ref="J188:K188"/>
    <mergeCell ref="M188:N188"/>
    <mergeCell ref="R188:S188"/>
    <mergeCell ref="T188:U188"/>
    <mergeCell ref="H201:I201"/>
    <mergeCell ref="J201:K201"/>
    <mergeCell ref="M201:N201"/>
    <mergeCell ref="R201:S201"/>
    <mergeCell ref="T201:U201"/>
    <mergeCell ref="H151:I151"/>
    <mergeCell ref="J151:K151"/>
    <mergeCell ref="M151:N151"/>
    <mergeCell ref="R151:S151"/>
    <mergeCell ref="T151:U151"/>
    <mergeCell ref="H163:I163"/>
    <mergeCell ref="J163:K163"/>
    <mergeCell ref="M163:N163"/>
    <mergeCell ref="R163:S163"/>
    <mergeCell ref="T163:U163"/>
    <mergeCell ref="M100:N100"/>
    <mergeCell ref="O100:P100"/>
    <mergeCell ref="R100:S100"/>
    <mergeCell ref="T100:U100"/>
    <mergeCell ref="H112:I112"/>
    <mergeCell ref="M112:N112"/>
    <mergeCell ref="J112:K112"/>
    <mergeCell ref="O112:P112"/>
    <mergeCell ref="R112:S112"/>
    <mergeCell ref="T112:U112"/>
    <mergeCell ref="T51:U51"/>
    <mergeCell ref="M63:N63"/>
    <mergeCell ref="R63:S63"/>
    <mergeCell ref="T63:U63"/>
    <mergeCell ref="M75:N75"/>
    <mergeCell ref="R75:S75"/>
    <mergeCell ref="T75:U75"/>
    <mergeCell ref="H88:I88"/>
    <mergeCell ref="J88:K88"/>
    <mergeCell ref="M88:N88"/>
    <mergeCell ref="R88:S88"/>
    <mergeCell ref="T88:U88"/>
    <mergeCell ref="T14:U14"/>
    <mergeCell ref="H26:I26"/>
    <mergeCell ref="J26:K26"/>
    <mergeCell ref="M26:N26"/>
    <mergeCell ref="R26:S26"/>
    <mergeCell ref="T26:U26"/>
    <mergeCell ref="H38:I38"/>
    <mergeCell ref="J38:K38"/>
    <mergeCell ref="M38:N38"/>
    <mergeCell ref="R38:S38"/>
    <mergeCell ref="T38:U38"/>
    <mergeCell ref="O14:P14"/>
    <mergeCell ref="C14:D14"/>
    <mergeCell ref="E14:F14"/>
    <mergeCell ref="H14:I14"/>
    <mergeCell ref="J14:K14"/>
    <mergeCell ref="M14:N14"/>
    <mergeCell ref="R14:S14"/>
    <mergeCell ref="C51:D51"/>
    <mergeCell ref="E51:F51"/>
    <mergeCell ref="O51:P51"/>
    <mergeCell ref="C26:D26"/>
    <mergeCell ref="E26:F26"/>
    <mergeCell ref="O26:P26"/>
    <mergeCell ref="C38:D38"/>
    <mergeCell ref="E38:F38"/>
    <mergeCell ref="O38:P38"/>
    <mergeCell ref="H51:I51"/>
    <mergeCell ref="J51:K51"/>
    <mergeCell ref="M51:N51"/>
    <mergeCell ref="R51:S51"/>
    <mergeCell ref="C75:D75"/>
    <mergeCell ref="E75:F75"/>
    <mergeCell ref="O75:P75"/>
    <mergeCell ref="C63:D63"/>
    <mergeCell ref="E63:F63"/>
    <mergeCell ref="O63:P63"/>
    <mergeCell ref="H63:I63"/>
    <mergeCell ref="J63:K63"/>
    <mergeCell ref="H75:I75"/>
    <mergeCell ref="J75:K75"/>
    <mergeCell ref="C88:D88"/>
    <mergeCell ref="E88:F88"/>
    <mergeCell ref="O88:P88"/>
    <mergeCell ref="O163:P163"/>
    <mergeCell ref="C176:D176"/>
    <mergeCell ref="E176:F176"/>
    <mergeCell ref="O176:P176"/>
    <mergeCell ref="C163:D163"/>
    <mergeCell ref="E163:F163"/>
    <mergeCell ref="H176:I176"/>
    <mergeCell ref="J176:K176"/>
    <mergeCell ref="M176:N176"/>
    <mergeCell ref="C112:D112"/>
    <mergeCell ref="E112:F112"/>
    <mergeCell ref="C100:D100"/>
    <mergeCell ref="E100:F100"/>
    <mergeCell ref="C151:D151"/>
    <mergeCell ref="E151:F151"/>
    <mergeCell ref="O151:P151"/>
    <mergeCell ref="C125:D125"/>
    <mergeCell ref="E125:F125"/>
    <mergeCell ref="O125:P125"/>
    <mergeCell ref="H100:I100"/>
    <mergeCell ref="J100:K100"/>
    <mergeCell ref="C201:D201"/>
    <mergeCell ref="E201:F201"/>
    <mergeCell ref="O201:P201"/>
    <mergeCell ref="C188:D188"/>
    <mergeCell ref="E188:F188"/>
    <mergeCell ref="O188:P188"/>
    <mergeCell ref="C226:D226"/>
    <mergeCell ref="E226:F226"/>
    <mergeCell ref="O226:P226"/>
    <mergeCell ref="C213:D213"/>
    <mergeCell ref="E213:F213"/>
    <mergeCell ref="O213:P213"/>
    <mergeCell ref="H213:I213"/>
    <mergeCell ref="J213:K213"/>
    <mergeCell ref="M213:N213"/>
    <mergeCell ref="C302:D302"/>
    <mergeCell ref="E302:F302"/>
    <mergeCell ref="O302:P302"/>
    <mergeCell ref="H315:I315"/>
    <mergeCell ref="J315:K315"/>
    <mergeCell ref="M315:N315"/>
    <mergeCell ref="R213:S213"/>
    <mergeCell ref="T213:U213"/>
    <mergeCell ref="H226:I226"/>
    <mergeCell ref="J226:K226"/>
    <mergeCell ref="M226:N226"/>
    <mergeCell ref="C251:D251"/>
    <mergeCell ref="E251:F251"/>
    <mergeCell ref="C239:D239"/>
    <mergeCell ref="E239:F239"/>
    <mergeCell ref="O239:P239"/>
    <mergeCell ref="R226:S226"/>
    <mergeCell ref="T226:U226"/>
    <mergeCell ref="H239:I239"/>
    <mergeCell ref="J239:K239"/>
    <mergeCell ref="M239:N239"/>
    <mergeCell ref="R239:S239"/>
    <mergeCell ref="T239:U239"/>
    <mergeCell ref="H251:I251"/>
    <mergeCell ref="R315:S315"/>
    <mergeCell ref="T315:U315"/>
    <mergeCell ref="C138:D138"/>
    <mergeCell ref="E138:F138"/>
    <mergeCell ref="O138:P138"/>
    <mergeCell ref="H125:I125"/>
    <mergeCell ref="M125:N125"/>
    <mergeCell ref="J125:K125"/>
    <mergeCell ref="R125:S125"/>
    <mergeCell ref="T125:U125"/>
    <mergeCell ref="H138:I138"/>
    <mergeCell ref="J138:K138"/>
    <mergeCell ref="M138:N138"/>
    <mergeCell ref="R138:S138"/>
    <mergeCell ref="T138:U138"/>
    <mergeCell ref="C290:D290"/>
    <mergeCell ref="E290:F290"/>
    <mergeCell ref="C277:D277"/>
    <mergeCell ref="E277:F277"/>
    <mergeCell ref="C264:D264"/>
    <mergeCell ref="E264:F264"/>
    <mergeCell ref="C315:D315"/>
    <mergeCell ref="E315:F315"/>
    <mergeCell ref="O315:P315"/>
  </mergeCells>
  <pageMargins left="0.7" right="0.7" top="0.75" bottom="0.75" header="0.3" footer="0.3"/>
  <pageSetup paperSize="9" orientation="portrait" horizontalDpi="0" verticalDpi="0" r:id="rId1"/>
  <ignoredErrors>
    <ignoredError sqref="X12" twoDigitTextYear="1"/>
  </ignoredError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2:AB35"/>
  <sheetViews>
    <sheetView workbookViewId="0">
      <selection activeCell="H7" sqref="H7"/>
    </sheetView>
  </sheetViews>
  <sheetFormatPr defaultRowHeight="15"/>
  <cols>
    <col min="8" max="8" width="9.5703125" bestFit="1" customWidth="1"/>
  </cols>
  <sheetData>
    <row r="2" spans="2:28" ht="17.25">
      <c r="B2" s="289" t="s">
        <v>308</v>
      </c>
      <c r="G2" s="439" t="s">
        <v>420</v>
      </c>
      <c r="H2" s="442">
        <f>E4+E7+E5</f>
        <v>418.125</v>
      </c>
      <c r="I2" s="439" t="s">
        <v>314</v>
      </c>
      <c r="J2" s="62"/>
      <c r="K2" s="289" t="s">
        <v>325</v>
      </c>
      <c r="P2" s="439" t="s">
        <v>420</v>
      </c>
      <c r="Q2" s="443">
        <v>402.94499999999999</v>
      </c>
      <c r="R2" s="439" t="s">
        <v>314</v>
      </c>
      <c r="U2" s="289" t="s">
        <v>329</v>
      </c>
    </row>
    <row r="3" spans="2:28">
      <c r="J3" s="62"/>
      <c r="R3" s="299"/>
    </row>
    <row r="4" spans="2:28" ht="17.25">
      <c r="B4" t="s">
        <v>288</v>
      </c>
      <c r="E4" s="438">
        <f>359.455-E7</f>
        <v>332.43</v>
      </c>
      <c r="F4" t="s">
        <v>314</v>
      </c>
      <c r="H4" s="443">
        <f>E4*'C.U. tab. riassuntiva'!M7</f>
        <v>1598.9883</v>
      </c>
      <c r="I4" t="s">
        <v>256</v>
      </c>
      <c r="J4" s="62"/>
      <c r="K4" t="s">
        <v>288</v>
      </c>
      <c r="N4" s="287">
        <f>Q2-N5-N7</f>
        <v>322.27000000000004</v>
      </c>
      <c r="O4" t="s">
        <v>314</v>
      </c>
      <c r="Q4" s="287">
        <f>N4*'C.U. tab. riassuntiva'!M5</f>
        <v>1511.4463000000001</v>
      </c>
      <c r="R4" s="299" t="s">
        <v>256</v>
      </c>
      <c r="U4" t="s">
        <v>288</v>
      </c>
      <c r="X4" s="373">
        <v>27.024999999999999</v>
      </c>
      <c r="Y4" t="s">
        <v>314</v>
      </c>
      <c r="AA4" s="287">
        <f>X4*'C.U. tab. riassuntiva'!M9</f>
        <v>48.644999999999996</v>
      </c>
      <c r="AB4" t="s">
        <v>256</v>
      </c>
    </row>
    <row r="5" spans="2:28" ht="17.25">
      <c r="B5" s="439" t="s">
        <v>419</v>
      </c>
      <c r="E5" s="373">
        <v>58.67</v>
      </c>
      <c r="F5" t="s">
        <v>314</v>
      </c>
      <c r="H5" s="287">
        <f>E5*'C.U. tab. riassuntiva'!M9</f>
        <v>105.60599999999999</v>
      </c>
      <c r="I5" t="s">
        <v>256</v>
      </c>
      <c r="J5" s="62"/>
      <c r="K5" t="s">
        <v>289</v>
      </c>
      <c r="N5" s="373">
        <v>53.65</v>
      </c>
      <c r="O5" t="s">
        <v>314</v>
      </c>
      <c r="Q5" s="287">
        <f>'C.U. tab. riassuntiva'!M10*N5</f>
        <v>354.62649999999996</v>
      </c>
      <c r="R5" s="299" t="s">
        <v>256</v>
      </c>
      <c r="U5" t="s">
        <v>309</v>
      </c>
      <c r="X5" s="373">
        <v>13.89</v>
      </c>
      <c r="Y5" t="s">
        <v>314</v>
      </c>
      <c r="AA5" s="287">
        <f>X5*'C.U. tab. riassuntiva'!M9</f>
        <v>25.001999999999999</v>
      </c>
      <c r="AB5" t="s">
        <v>256</v>
      </c>
    </row>
    <row r="6" spans="2:28" ht="17.25">
      <c r="B6" s="439"/>
      <c r="E6" s="373"/>
      <c r="H6" s="287"/>
      <c r="J6" s="62"/>
      <c r="K6" t="s">
        <v>309</v>
      </c>
      <c r="N6" s="373">
        <v>0</v>
      </c>
      <c r="O6" t="s">
        <v>314</v>
      </c>
      <c r="Q6" s="287">
        <f>N6*'C.U. tab. riassuntiva'!M9</f>
        <v>0</v>
      </c>
      <c r="R6" s="299" t="s">
        <v>256</v>
      </c>
      <c r="U6" t="s">
        <v>310</v>
      </c>
      <c r="X6" s="373">
        <v>16</v>
      </c>
      <c r="Y6" t="s">
        <v>170</v>
      </c>
      <c r="AA6" s="287">
        <f>X6*'C.U. tab. riassuntiva'!M12</f>
        <v>47.28</v>
      </c>
      <c r="AB6" t="s">
        <v>256</v>
      </c>
    </row>
    <row r="7" spans="2:28" ht="17.25">
      <c r="B7" t="s">
        <v>290</v>
      </c>
      <c r="E7" s="373">
        <v>27.024999999999999</v>
      </c>
      <c r="F7" t="s">
        <v>314</v>
      </c>
      <c r="H7" s="438">
        <f>E7*'C.U. tab. riassuntiva'!M11</f>
        <v>211.18684086025877</v>
      </c>
      <c r="I7" t="s">
        <v>256</v>
      </c>
      <c r="J7" s="62"/>
      <c r="K7" t="s">
        <v>290</v>
      </c>
      <c r="N7" s="438">
        <v>27.024999999999999</v>
      </c>
      <c r="O7" t="s">
        <v>314</v>
      </c>
      <c r="Q7" s="287">
        <f>N7*'C.U. tab. riassuntiva'!M11</f>
        <v>211.18684086025877</v>
      </c>
      <c r="R7" s="299" t="s">
        <v>256</v>
      </c>
      <c r="U7" t="s">
        <v>312</v>
      </c>
      <c r="X7" s="373">
        <f>18.9*0.5</f>
        <v>9.4499999999999993</v>
      </c>
      <c r="Y7" t="s">
        <v>170</v>
      </c>
      <c r="AA7" s="287">
        <f>X7*'C.U. tab. riassuntiva'!M16</f>
        <v>54.054000000000002</v>
      </c>
      <c r="AB7" t="s">
        <v>256</v>
      </c>
    </row>
    <row r="8" spans="2:28">
      <c r="B8" t="s">
        <v>310</v>
      </c>
      <c r="E8" s="373">
        <v>141.4</v>
      </c>
      <c r="F8" t="s">
        <v>170</v>
      </c>
      <c r="H8" s="287">
        <f>E8*'C.U. tab. riassuntiva'!M12</f>
        <v>417.83700000000005</v>
      </c>
      <c r="I8" t="s">
        <v>256</v>
      </c>
      <c r="J8" s="62"/>
      <c r="K8" t="s">
        <v>310</v>
      </c>
      <c r="N8" s="373">
        <v>141.4</v>
      </c>
      <c r="O8" t="s">
        <v>170</v>
      </c>
      <c r="Q8" s="287">
        <f>N8*'C.U. tab. riassuntiva'!M12</f>
        <v>417.83700000000005</v>
      </c>
      <c r="R8" s="299" t="s">
        <v>256</v>
      </c>
      <c r="U8" t="s">
        <v>320</v>
      </c>
      <c r="X8" s="373">
        <f>4*0.5</f>
        <v>2</v>
      </c>
      <c r="Y8" t="s">
        <v>170</v>
      </c>
      <c r="AA8" s="287">
        <f>X8*'C.U. tab. riassuntiva'!M19</f>
        <v>28.35</v>
      </c>
      <c r="AB8" t="s">
        <v>256</v>
      </c>
    </row>
    <row r="9" spans="2:28">
      <c r="B9" s="432" t="s">
        <v>418</v>
      </c>
      <c r="E9" s="373">
        <v>58.55</v>
      </c>
      <c r="F9" t="s">
        <v>170</v>
      </c>
      <c r="H9" s="287">
        <f>E9*'C.U. tab. riassuntiva'!M14</f>
        <v>178.87025</v>
      </c>
      <c r="I9" t="s">
        <v>256</v>
      </c>
      <c r="J9" s="62"/>
      <c r="K9" s="432" t="s">
        <v>418</v>
      </c>
      <c r="N9" s="373">
        <v>58.55</v>
      </c>
      <c r="O9" t="s">
        <v>170</v>
      </c>
      <c r="Q9" s="287">
        <f>N9*'C.U. tab. riassuntiva'!M14</f>
        <v>178.87025</v>
      </c>
      <c r="R9" s="299" t="s">
        <v>256</v>
      </c>
      <c r="U9" t="s">
        <v>7</v>
      </c>
      <c r="X9" s="83"/>
      <c r="AA9" s="298">
        <f>SUM(AA4:AA8)</f>
        <v>203.33099999999999</v>
      </c>
      <c r="AB9" t="s">
        <v>256</v>
      </c>
    </row>
    <row r="10" spans="2:28">
      <c r="B10" t="s">
        <v>313</v>
      </c>
      <c r="E10" s="373">
        <f>18.9*0.5</f>
        <v>9.4499999999999993</v>
      </c>
      <c r="F10" t="s">
        <v>170</v>
      </c>
      <c r="H10" s="287">
        <f>E10*'C.U. tab. riassuntiva'!M16</f>
        <v>54.054000000000002</v>
      </c>
      <c r="I10" t="s">
        <v>256</v>
      </c>
      <c r="J10" s="62"/>
      <c r="K10" t="s">
        <v>313</v>
      </c>
      <c r="N10" s="373">
        <f>E11</f>
        <v>47.002500000000005</v>
      </c>
      <c r="O10" t="s">
        <v>170</v>
      </c>
      <c r="Q10" s="287">
        <f>N10*'C.U. tab. riassuntiva'!M16</f>
        <v>268.85430000000008</v>
      </c>
      <c r="R10" s="299" t="s">
        <v>256</v>
      </c>
    </row>
    <row r="11" spans="2:28">
      <c r="B11" t="s">
        <v>312</v>
      </c>
      <c r="E11" s="373">
        <f>104.45*0.9*0.5</f>
        <v>47.002500000000005</v>
      </c>
      <c r="F11" t="s">
        <v>170</v>
      </c>
      <c r="H11" s="287">
        <f>E11*'C.U. tab. riassuntiva'!M16</f>
        <v>268.85430000000008</v>
      </c>
      <c r="I11" t="s">
        <v>256</v>
      </c>
      <c r="J11" s="62"/>
      <c r="K11" t="s">
        <v>312</v>
      </c>
      <c r="N11" s="373">
        <f>104.45*0.9*0.5</f>
        <v>47.002500000000005</v>
      </c>
      <c r="O11" t="s">
        <v>170</v>
      </c>
      <c r="Q11" s="287">
        <f>N11*'C.U. tab. riassuntiva'!M16</f>
        <v>268.85430000000008</v>
      </c>
      <c r="R11" s="299" t="s">
        <v>256</v>
      </c>
    </row>
    <row r="12" spans="2:28">
      <c r="B12" t="s">
        <v>311</v>
      </c>
      <c r="E12" s="373">
        <f>95.3*0.8*0.5</f>
        <v>38.119999999999997</v>
      </c>
      <c r="F12" t="s">
        <v>170</v>
      </c>
      <c r="H12" s="287">
        <f>'C.U. tab. riassuntiva'!M15*E12</f>
        <v>95.940416000000013</v>
      </c>
      <c r="I12" t="s">
        <v>256</v>
      </c>
      <c r="J12" s="62"/>
      <c r="K12" s="441" t="s">
        <v>423</v>
      </c>
      <c r="L12" s="441"/>
      <c r="N12" s="440">
        <f>95.3*0.8*0.5</f>
        <v>38.119999999999997</v>
      </c>
      <c r="O12" s="441" t="s">
        <v>170</v>
      </c>
      <c r="Q12" s="440">
        <f>N12*'C.U. tab. riassuntiva'!M15</f>
        <v>95.940416000000013</v>
      </c>
      <c r="R12" s="299" t="s">
        <v>256</v>
      </c>
      <c r="X12" s="83"/>
    </row>
    <row r="13" spans="2:28">
      <c r="B13" t="s">
        <v>321</v>
      </c>
      <c r="E13" s="373">
        <f>4*0.5</f>
        <v>2</v>
      </c>
      <c r="F13" t="s">
        <v>170</v>
      </c>
      <c r="H13" s="287">
        <f>E13*'C.U. tab. riassuntiva'!M19</f>
        <v>28.35</v>
      </c>
      <c r="I13" t="s">
        <v>256</v>
      </c>
      <c r="J13" s="62"/>
      <c r="K13" t="s">
        <v>311</v>
      </c>
      <c r="N13" s="373">
        <f>95.3*0.8*0.5</f>
        <v>38.119999999999997</v>
      </c>
      <c r="O13" t="s">
        <v>170</v>
      </c>
      <c r="Q13" s="287">
        <f>N13*'C.U. tab. riassuntiva'!M15</f>
        <v>95.940416000000013</v>
      </c>
      <c r="R13" s="299" t="s">
        <v>256</v>
      </c>
      <c r="X13" s="83"/>
    </row>
    <row r="14" spans="2:28">
      <c r="B14" t="s">
        <v>320</v>
      </c>
      <c r="E14" s="373">
        <f>30*0.5</f>
        <v>15</v>
      </c>
      <c r="F14" t="s">
        <v>170</v>
      </c>
      <c r="H14" s="287">
        <f>E14*'C.U. tab. riassuntiva'!M19</f>
        <v>212.625</v>
      </c>
      <c r="I14" t="s">
        <v>256</v>
      </c>
      <c r="J14" s="62"/>
      <c r="K14" t="s">
        <v>321</v>
      </c>
      <c r="N14" s="373">
        <f>30*0.5</f>
        <v>15</v>
      </c>
      <c r="O14" t="s">
        <v>170</v>
      </c>
      <c r="Q14" s="287">
        <f>N14*'C.U. tab. riassuntiva'!M19</f>
        <v>212.625</v>
      </c>
      <c r="R14" s="299" t="s">
        <v>256</v>
      </c>
    </row>
    <row r="15" spans="2:28">
      <c r="B15" t="s">
        <v>319</v>
      </c>
      <c r="E15" s="373">
        <f>2*0.5</f>
        <v>1</v>
      </c>
      <c r="F15" t="s">
        <v>170</v>
      </c>
      <c r="H15" s="287">
        <f>E15*'C.U. tab. riassuntiva'!M23</f>
        <v>6.0750000000000002</v>
      </c>
      <c r="I15" t="s">
        <v>256</v>
      </c>
      <c r="J15" s="62"/>
      <c r="K15" t="s">
        <v>320</v>
      </c>
      <c r="N15" s="373">
        <f>30*0.5</f>
        <v>15</v>
      </c>
      <c r="O15" t="s">
        <v>170</v>
      </c>
      <c r="Q15" s="287">
        <f>N15*'C.U. tab. riassuntiva'!M18</f>
        <v>204.75</v>
      </c>
      <c r="R15" s="299" t="s">
        <v>256</v>
      </c>
    </row>
    <row r="16" spans="2:28">
      <c r="B16" t="s">
        <v>7</v>
      </c>
      <c r="H16" s="298">
        <f>SUM(H4:H15)</f>
        <v>3178.3871068602584</v>
      </c>
      <c r="I16" s="297" t="s">
        <v>256</v>
      </c>
      <c r="J16" s="43"/>
      <c r="K16" t="s">
        <v>319</v>
      </c>
      <c r="N16" s="373">
        <f>2*0.5</f>
        <v>1</v>
      </c>
      <c r="O16" t="s">
        <v>170</v>
      </c>
      <c r="Q16" s="287">
        <f>N16*'C.U. tab. riassuntiva'!M23</f>
        <v>6.0750000000000002</v>
      </c>
      <c r="R16" s="45" t="s">
        <v>256</v>
      </c>
    </row>
    <row r="17" spans="2:23">
      <c r="K17" t="s">
        <v>7</v>
      </c>
      <c r="Q17" s="298">
        <f>SUM(Q4:Q16)</f>
        <v>3827.006322860258</v>
      </c>
      <c r="R17" s="297"/>
    </row>
    <row r="20" spans="2:23" ht="17.25">
      <c r="B20" s="289" t="s">
        <v>326</v>
      </c>
      <c r="G20" s="439" t="s">
        <v>420</v>
      </c>
      <c r="H20" s="443">
        <v>402.94499999999999</v>
      </c>
      <c r="I20" s="439" t="s">
        <v>314</v>
      </c>
      <c r="K20" s="289" t="s">
        <v>328</v>
      </c>
      <c r="P20" s="439" t="s">
        <v>420</v>
      </c>
      <c r="Q20" s="438">
        <v>340.88</v>
      </c>
      <c r="R20" s="439" t="s">
        <v>314</v>
      </c>
    </row>
    <row r="21" spans="2:23">
      <c r="I21" s="299"/>
      <c r="R21" s="299"/>
    </row>
    <row r="22" spans="2:23" ht="17.25">
      <c r="B22" t="s">
        <v>288</v>
      </c>
      <c r="E22" s="389">
        <f>N4</f>
        <v>322.27000000000004</v>
      </c>
      <c r="F22" t="s">
        <v>314</v>
      </c>
      <c r="H22" s="287">
        <f>E22*'C.U. tab. riassuntiva'!M5</f>
        <v>1511.4463000000001</v>
      </c>
      <c r="I22" s="299" t="s">
        <v>256</v>
      </c>
      <c r="K22" t="s">
        <v>288</v>
      </c>
      <c r="N22" s="287">
        <f>340.88-N25</f>
        <v>313.85500000000002</v>
      </c>
      <c r="O22" t="s">
        <v>314</v>
      </c>
      <c r="Q22" s="287">
        <f>N22*'C.U. tab. riassuntiva'!M5</f>
        <v>1471.9799499999999</v>
      </c>
      <c r="R22" s="299" t="s">
        <v>256</v>
      </c>
      <c r="U22" s="439" t="s">
        <v>421</v>
      </c>
      <c r="W22" s="440">
        <f>E23*('C.U. tab. riassuntiva'!D10+'C.U. tab. riassuntiva'!F10*'C.U. tab. riassuntiva'!L10)</f>
        <v>354.62649999999996</v>
      </c>
    </row>
    <row r="23" spans="2:23" ht="17.25">
      <c r="B23" t="s">
        <v>289</v>
      </c>
      <c r="E23" s="373">
        <f>N5</f>
        <v>53.65</v>
      </c>
      <c r="F23" t="s">
        <v>314</v>
      </c>
      <c r="H23" s="287">
        <f>E23*'C.U. tab. riassuntiva'!M10</f>
        <v>354.62649999999996</v>
      </c>
      <c r="I23" s="299" t="s">
        <v>256</v>
      </c>
      <c r="K23" s="441" t="s">
        <v>289</v>
      </c>
      <c r="N23" s="440">
        <v>0</v>
      </c>
      <c r="O23" s="441" t="s">
        <v>314</v>
      </c>
      <c r="Q23" s="440">
        <f>N23*'C.U. tab. riassuntiva'!M8</f>
        <v>0</v>
      </c>
      <c r="R23" s="299" t="s">
        <v>256</v>
      </c>
    </row>
    <row r="24" spans="2:23" ht="17.25">
      <c r="B24" t="s">
        <v>309</v>
      </c>
      <c r="E24" s="373">
        <v>0</v>
      </c>
      <c r="F24" t="s">
        <v>314</v>
      </c>
      <c r="H24" s="287">
        <f>E24*'C.U. tab. riassuntiva'!M9</f>
        <v>0</v>
      </c>
      <c r="I24" s="299" t="s">
        <v>256</v>
      </c>
      <c r="K24" t="s">
        <v>309</v>
      </c>
      <c r="N24" s="373">
        <v>0</v>
      </c>
      <c r="O24" t="s">
        <v>314</v>
      </c>
      <c r="Q24" s="287">
        <f>N24*'C.U. tab. riassuntiva'!M9</f>
        <v>0</v>
      </c>
      <c r="R24" s="299" t="s">
        <v>256</v>
      </c>
    </row>
    <row r="25" spans="2:23" ht="17.25">
      <c r="B25" t="s">
        <v>290</v>
      </c>
      <c r="E25" s="373">
        <f t="shared" ref="E25:E29" si="0">E7</f>
        <v>27.024999999999999</v>
      </c>
      <c r="F25" t="s">
        <v>314</v>
      </c>
      <c r="H25" s="287">
        <f>E25*'C.U. tab. riassuntiva'!M11</f>
        <v>211.18684086025877</v>
      </c>
      <c r="I25" s="299" t="s">
        <v>256</v>
      </c>
      <c r="K25" t="s">
        <v>290</v>
      </c>
      <c r="N25" s="373">
        <f>E7</f>
        <v>27.024999999999999</v>
      </c>
      <c r="O25" t="s">
        <v>314</v>
      </c>
      <c r="Q25" s="287">
        <f>N25*'C.U. tab. riassuntiva'!M11</f>
        <v>211.18684086025877</v>
      </c>
      <c r="R25" s="299" t="s">
        <v>256</v>
      </c>
    </row>
    <row r="26" spans="2:23">
      <c r="B26" t="s">
        <v>322</v>
      </c>
      <c r="E26" s="373">
        <f t="shared" si="0"/>
        <v>141.4</v>
      </c>
      <c r="F26" t="s">
        <v>170</v>
      </c>
      <c r="H26" s="287">
        <f>E26*'C.U. tab. riassuntiva'!M13</f>
        <v>523.88700000000006</v>
      </c>
      <c r="I26" s="299" t="s">
        <v>256</v>
      </c>
      <c r="K26" t="s">
        <v>322</v>
      </c>
      <c r="N26" s="373">
        <v>141.4</v>
      </c>
      <c r="O26" t="s">
        <v>170</v>
      </c>
      <c r="Q26" s="287">
        <f>N26*'C.U. tab. riassuntiva'!M13</f>
        <v>523.88700000000006</v>
      </c>
      <c r="R26" s="299" t="s">
        <v>256</v>
      </c>
    </row>
    <row r="27" spans="2:23">
      <c r="B27" s="432" t="s">
        <v>418</v>
      </c>
      <c r="E27" s="373">
        <f t="shared" si="0"/>
        <v>58.55</v>
      </c>
      <c r="F27" t="s">
        <v>170</v>
      </c>
      <c r="H27" s="287">
        <f>E27*'C.U. tab. riassuntiva'!M14</f>
        <v>178.87025</v>
      </c>
      <c r="I27" s="299" t="s">
        <v>256</v>
      </c>
      <c r="K27" s="432" t="s">
        <v>418</v>
      </c>
      <c r="N27" s="373">
        <v>58.55</v>
      </c>
      <c r="O27" t="s">
        <v>170</v>
      </c>
      <c r="Q27" s="287">
        <f>N27*'C.U. tab. riassuntiva'!M14</f>
        <v>178.87025</v>
      </c>
      <c r="R27" s="299" t="s">
        <v>256</v>
      </c>
    </row>
    <row r="28" spans="2:23">
      <c r="B28" t="s">
        <v>313</v>
      </c>
      <c r="E28" s="373">
        <f>E11</f>
        <v>47.002500000000005</v>
      </c>
      <c r="F28" t="s">
        <v>170</v>
      </c>
      <c r="H28" s="287">
        <f>E28*'C.U. tab. riassuntiva'!M16</f>
        <v>268.85430000000008</v>
      </c>
      <c r="I28" s="299" t="s">
        <v>256</v>
      </c>
      <c r="K28" t="s">
        <v>313</v>
      </c>
      <c r="N28" s="373">
        <f>E11</f>
        <v>47.002500000000005</v>
      </c>
      <c r="O28" t="s">
        <v>170</v>
      </c>
      <c r="Q28" s="287">
        <f>N28*'C.U. tab. riassuntiva'!M16</f>
        <v>268.85430000000008</v>
      </c>
      <c r="R28" s="299" t="s">
        <v>256</v>
      </c>
    </row>
    <row r="29" spans="2:23">
      <c r="B29" t="s">
        <v>312</v>
      </c>
      <c r="E29" s="373">
        <f t="shared" si="0"/>
        <v>47.002500000000005</v>
      </c>
      <c r="F29" t="s">
        <v>170</v>
      </c>
      <c r="H29" s="287">
        <f>E29*'C.U. tab. riassuntiva'!M16</f>
        <v>268.85430000000008</v>
      </c>
      <c r="I29" s="299" t="s">
        <v>256</v>
      </c>
      <c r="K29" t="s">
        <v>312</v>
      </c>
      <c r="N29" s="373">
        <f>104.45*0.9*0.5</f>
        <v>47.002500000000005</v>
      </c>
      <c r="O29" t="s">
        <v>170</v>
      </c>
      <c r="Q29" s="287">
        <f>N29*'C.U. tab. riassuntiva'!M16</f>
        <v>268.85430000000008</v>
      </c>
      <c r="R29" s="299" t="s">
        <v>256</v>
      </c>
    </row>
    <row r="30" spans="2:23">
      <c r="B30" s="441" t="s">
        <v>423</v>
      </c>
      <c r="C30" s="441"/>
      <c r="E30" s="440">
        <f>N12</f>
        <v>38.119999999999997</v>
      </c>
      <c r="F30" s="441" t="s">
        <v>170</v>
      </c>
      <c r="G30" s="441"/>
      <c r="H30" s="440">
        <f>Q12</f>
        <v>95.940416000000013</v>
      </c>
      <c r="I30" s="299" t="s">
        <v>256</v>
      </c>
      <c r="K30" s="441" t="s">
        <v>423</v>
      </c>
      <c r="L30" s="441"/>
      <c r="N30" s="440">
        <f>N12</f>
        <v>38.119999999999997</v>
      </c>
      <c r="O30" s="441" t="s">
        <v>170</v>
      </c>
      <c r="Q30" s="440">
        <f>Q12</f>
        <v>95.940416000000013</v>
      </c>
      <c r="R30" s="299" t="s">
        <v>256</v>
      </c>
    </row>
    <row r="31" spans="2:23">
      <c r="B31" t="s">
        <v>311</v>
      </c>
      <c r="E31" s="373">
        <f>E12</f>
        <v>38.119999999999997</v>
      </c>
      <c r="F31" t="s">
        <v>170</v>
      </c>
      <c r="H31" s="287">
        <f>E31*'C.U. tab. riassuntiva'!M15</f>
        <v>95.940416000000013</v>
      </c>
      <c r="I31" s="299" t="s">
        <v>256</v>
      </c>
      <c r="K31" t="s">
        <v>311</v>
      </c>
      <c r="N31" s="373">
        <f>95.3*0.8*0.5</f>
        <v>38.119999999999997</v>
      </c>
      <c r="O31" t="s">
        <v>170</v>
      </c>
      <c r="Q31" s="287">
        <f>N31*'C.U. tab. riassuntiva'!M15</f>
        <v>95.940416000000013</v>
      </c>
      <c r="R31" s="299" t="s">
        <v>256</v>
      </c>
    </row>
    <row r="32" spans="2:23">
      <c r="B32" t="s">
        <v>321</v>
      </c>
      <c r="E32" s="373">
        <f>30*0.5</f>
        <v>15</v>
      </c>
      <c r="F32" t="s">
        <v>170</v>
      </c>
      <c r="H32" s="287">
        <f>E32*'C.U. tab. riassuntiva'!M18</f>
        <v>204.75</v>
      </c>
      <c r="I32" s="299" t="s">
        <v>256</v>
      </c>
      <c r="K32" t="s">
        <v>321</v>
      </c>
      <c r="N32" s="373">
        <f>30*0.5</f>
        <v>15</v>
      </c>
      <c r="O32" t="s">
        <v>170</v>
      </c>
      <c r="Q32" s="287">
        <f>N32*'C.U. tab. riassuntiva'!M18</f>
        <v>204.75</v>
      </c>
      <c r="R32" s="299" t="s">
        <v>256</v>
      </c>
    </row>
    <row r="33" spans="2:18">
      <c r="B33" t="s">
        <v>320</v>
      </c>
      <c r="E33" s="373">
        <f>E14</f>
        <v>15</v>
      </c>
      <c r="F33" t="s">
        <v>170</v>
      </c>
      <c r="H33" s="287">
        <f>E33*'C.U. tab. riassuntiva'!M18</f>
        <v>204.75</v>
      </c>
      <c r="I33" s="299" t="s">
        <v>256</v>
      </c>
      <c r="K33" t="s">
        <v>320</v>
      </c>
      <c r="N33" s="373">
        <f>30*0.5</f>
        <v>15</v>
      </c>
      <c r="O33" t="s">
        <v>170</v>
      </c>
      <c r="Q33" s="287">
        <f>N33*'C.U. tab. riassuntiva'!M17</f>
        <v>244.12500000000003</v>
      </c>
      <c r="R33" s="299" t="s">
        <v>256</v>
      </c>
    </row>
    <row r="34" spans="2:18">
      <c r="B34" t="s">
        <v>319</v>
      </c>
      <c r="E34" s="373">
        <f>E15</f>
        <v>1</v>
      </c>
      <c r="F34" t="s">
        <v>170</v>
      </c>
      <c r="H34" s="287">
        <f>E34*'C.U. tab. riassuntiva'!M22</f>
        <v>5.85</v>
      </c>
      <c r="I34" s="45" t="s">
        <v>256</v>
      </c>
      <c r="K34" t="s">
        <v>319</v>
      </c>
      <c r="N34" s="373">
        <f>2*0.5</f>
        <v>1</v>
      </c>
      <c r="O34" t="s">
        <v>170</v>
      </c>
      <c r="Q34" s="287">
        <f>N34*'C.U. tab. riassuntiva'!M21</f>
        <v>6.9749999999999996</v>
      </c>
      <c r="R34" s="45" t="s">
        <v>256</v>
      </c>
    </row>
    <row r="35" spans="2:18">
      <c r="B35" t="s">
        <v>7</v>
      </c>
      <c r="H35" s="298">
        <f>SUM(H22:H34)</f>
        <v>3924.9563228602583</v>
      </c>
      <c r="I35" s="297" t="s">
        <v>256</v>
      </c>
      <c r="K35" t="s">
        <v>7</v>
      </c>
      <c r="Q35" s="297">
        <f>SUM(Q22:Q34)</f>
        <v>3571.3634728602583</v>
      </c>
      <c r="R35" s="297" t="s">
        <v>256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S44"/>
  <sheetViews>
    <sheetView workbookViewId="0">
      <selection activeCell="C5" sqref="C5"/>
    </sheetView>
  </sheetViews>
  <sheetFormatPr defaultRowHeight="15"/>
  <cols>
    <col min="2" max="2" width="12.85546875" customWidth="1"/>
    <col min="3" max="3" width="22" customWidth="1"/>
    <col min="4" max="4" width="22.42578125" customWidth="1"/>
    <col min="5" max="5" width="20" customWidth="1"/>
    <col min="6" max="6" width="14.140625" customWidth="1"/>
    <col min="7" max="7" width="14.42578125" customWidth="1"/>
    <col min="8" max="8" width="20.5703125" customWidth="1"/>
    <col min="9" max="9" width="13.85546875" customWidth="1"/>
    <col min="10" max="10" width="24" customWidth="1"/>
    <col min="11" max="11" width="17" customWidth="1"/>
    <col min="12" max="12" width="12.85546875" customWidth="1"/>
    <col min="13" max="13" width="10.42578125" customWidth="1"/>
    <col min="14" max="14" width="13.7109375" customWidth="1"/>
    <col min="16" max="16" width="10.140625" customWidth="1"/>
    <col min="17" max="17" width="10.42578125" customWidth="1"/>
  </cols>
  <sheetData>
    <row r="1" spans="2:19">
      <c r="B1" s="412" t="s">
        <v>372</v>
      </c>
      <c r="C1" s="43"/>
      <c r="H1" s="412" t="s">
        <v>377</v>
      </c>
      <c r="I1" s="43"/>
      <c r="J1" s="43"/>
      <c r="L1" s="94" t="s">
        <v>408</v>
      </c>
    </row>
    <row r="2" spans="2:19">
      <c r="B2" s="63"/>
      <c r="C2" s="63"/>
      <c r="H2" s="63"/>
      <c r="I2" s="63"/>
      <c r="J2" s="63"/>
    </row>
    <row r="3" spans="2:19" ht="18.75">
      <c r="B3" s="347" t="s">
        <v>75</v>
      </c>
      <c r="C3" s="347" t="s">
        <v>76</v>
      </c>
      <c r="D3" s="98" t="s">
        <v>152</v>
      </c>
      <c r="E3" s="98" t="s">
        <v>89</v>
      </c>
      <c r="F3" s="98" t="s">
        <v>77</v>
      </c>
      <c r="H3" s="288" t="s">
        <v>89</v>
      </c>
      <c r="I3" s="288" t="s">
        <v>77</v>
      </c>
      <c r="J3" s="288" t="s">
        <v>152</v>
      </c>
      <c r="L3" s="394" t="s">
        <v>75</v>
      </c>
      <c r="M3" s="394" t="s">
        <v>400</v>
      </c>
      <c r="N3" s="394" t="s">
        <v>399</v>
      </c>
      <c r="O3" s="394" t="s">
        <v>401</v>
      </c>
      <c r="P3" s="394" t="s">
        <v>403</v>
      </c>
      <c r="Q3" s="394" t="s">
        <v>404</v>
      </c>
      <c r="R3" s="394" t="s">
        <v>406</v>
      </c>
      <c r="S3" s="397" t="s">
        <v>407</v>
      </c>
    </row>
    <row r="4" spans="2:19" ht="17.25">
      <c r="B4" s="99" t="s">
        <v>143</v>
      </c>
      <c r="C4" s="30">
        <f>'Masse Impalcato'!H2+'Masse Impalcato'!X4</f>
        <v>445.15</v>
      </c>
      <c r="D4" s="79">
        <v>9</v>
      </c>
      <c r="E4" s="84">
        <f t="shared" ref="E4:E9" si="0">C4*D4</f>
        <v>4006.35</v>
      </c>
      <c r="F4" s="7">
        <f>E4/9.81</f>
        <v>408.39449541284398</v>
      </c>
      <c r="H4" s="301">
        <f>'Masse Impalcato'!H16+'Masse Impalcato'!AA9</f>
        <v>3381.7181068602586</v>
      </c>
      <c r="I4" s="30">
        <f t="shared" ref="I4:I9" si="1">H4/9.81</f>
        <v>344.72151955762064</v>
      </c>
      <c r="J4" s="7">
        <f t="shared" ref="J4:J9" si="2">H4/C4</f>
        <v>7.5968058112102854</v>
      </c>
      <c r="L4" s="396"/>
      <c r="M4" s="395" t="s">
        <v>397</v>
      </c>
      <c r="N4" s="395" t="s">
        <v>398</v>
      </c>
      <c r="O4" s="395" t="s">
        <v>161</v>
      </c>
      <c r="P4" s="395" t="s">
        <v>402</v>
      </c>
      <c r="Q4" s="395" t="s">
        <v>405</v>
      </c>
      <c r="R4" s="395" t="s">
        <v>405</v>
      </c>
      <c r="S4" s="395" t="s">
        <v>405</v>
      </c>
    </row>
    <row r="5" spans="2:19">
      <c r="B5" s="99">
        <v>5</v>
      </c>
      <c r="C5" s="31">
        <f>'Masse Impalcato'!Q2</f>
        <v>402.94499999999999</v>
      </c>
      <c r="D5" s="1">
        <v>10</v>
      </c>
      <c r="E5" s="38">
        <f t="shared" si="0"/>
        <v>4029.45</v>
      </c>
      <c r="F5" s="29">
        <f t="shared" ref="F5:F9" si="3">E5/9.81</f>
        <v>410.74923547400607</v>
      </c>
      <c r="H5" s="294">
        <f>'Masse Impalcato'!Q17</f>
        <v>3827.006322860258</v>
      </c>
      <c r="I5" s="31">
        <f t="shared" si="1"/>
        <v>390.11277501123931</v>
      </c>
      <c r="J5" s="29">
        <f t="shared" si="2"/>
        <v>9.4975898022317136</v>
      </c>
      <c r="L5" s="103" t="s">
        <v>143</v>
      </c>
      <c r="M5" s="30">
        <f t="shared" ref="M5:M10" si="4">C4</f>
        <v>445.15</v>
      </c>
      <c r="N5" s="7">
        <f t="shared" ref="N5:N10" si="5">F4</f>
        <v>408.39449541284398</v>
      </c>
      <c r="O5" s="30">
        <f t="shared" ref="O5:O10" si="6">H4</f>
        <v>3381.7181068602586</v>
      </c>
      <c r="P5" s="7">
        <f t="shared" ref="P5:P10" si="7">J4</f>
        <v>7.5968058112102854</v>
      </c>
      <c r="Q5" s="30">
        <f>'C. Rigidezza e Confronto'!G3</f>
        <v>14.58</v>
      </c>
      <c r="R5" s="390">
        <f>'C. Rigidezza e Confronto'!H3</f>
        <v>8.43</v>
      </c>
      <c r="S5" s="7">
        <f>'C. Rigidezza e Confronto'!I3</f>
        <v>9.2735430122472611</v>
      </c>
    </row>
    <row r="6" spans="2:19">
      <c r="B6" s="99">
        <v>4</v>
      </c>
      <c r="C6" s="31">
        <f>'Masse Impalcato'!H20</f>
        <v>402.94499999999999</v>
      </c>
      <c r="D6" s="1">
        <v>10</v>
      </c>
      <c r="E6" s="38">
        <f t="shared" si="0"/>
        <v>4029.45</v>
      </c>
      <c r="F6" s="29">
        <f t="shared" si="3"/>
        <v>410.74923547400607</v>
      </c>
      <c r="H6" s="294">
        <f>'Masse Impalcato'!H35</f>
        <v>3924.9563228602583</v>
      </c>
      <c r="I6" s="31">
        <f t="shared" si="1"/>
        <v>400.09748449136168</v>
      </c>
      <c r="J6" s="29">
        <f t="shared" si="2"/>
        <v>9.740675086823904</v>
      </c>
      <c r="L6" s="99">
        <v>5</v>
      </c>
      <c r="M6" s="31">
        <f t="shared" si="4"/>
        <v>402.94499999999999</v>
      </c>
      <c r="N6" s="29">
        <f t="shared" si="5"/>
        <v>410.74923547400607</v>
      </c>
      <c r="O6" s="31">
        <f t="shared" si="6"/>
        <v>3827.006322860258</v>
      </c>
      <c r="P6" s="29">
        <f t="shared" si="7"/>
        <v>9.4975898022317136</v>
      </c>
      <c r="Q6" s="1">
        <f>'C. Rigidezza e Confronto'!G4</f>
        <v>14.6</v>
      </c>
      <c r="R6" s="1">
        <f>'C. Rigidezza e Confronto'!H4</f>
        <v>8.3699999999999992</v>
      </c>
      <c r="S6" s="29">
        <f>'C. Rigidezza e Confronto'!I4</f>
        <v>9.1915722267738289</v>
      </c>
    </row>
    <row r="7" spans="2:19">
      <c r="B7" s="99">
        <v>3</v>
      </c>
      <c r="C7" s="31">
        <f>C6</f>
        <v>402.94499999999999</v>
      </c>
      <c r="D7" s="1">
        <v>10</v>
      </c>
      <c r="E7" s="38">
        <f t="shared" si="0"/>
        <v>4029.45</v>
      </c>
      <c r="F7" s="29">
        <f t="shared" si="3"/>
        <v>410.74923547400607</v>
      </c>
      <c r="H7" s="294">
        <f>H6</f>
        <v>3924.9563228602583</v>
      </c>
      <c r="I7" s="31">
        <f t="shared" si="1"/>
        <v>400.09748449136168</v>
      </c>
      <c r="J7" s="29">
        <f t="shared" si="2"/>
        <v>9.740675086823904</v>
      </c>
      <c r="L7" s="99">
        <v>4</v>
      </c>
      <c r="M7" s="31">
        <f t="shared" si="4"/>
        <v>402.94499999999999</v>
      </c>
      <c r="N7" s="29">
        <f t="shared" si="5"/>
        <v>410.74923547400607</v>
      </c>
      <c r="O7" s="31">
        <f t="shared" si="6"/>
        <v>3924.9563228602583</v>
      </c>
      <c r="P7" s="29">
        <f t="shared" si="7"/>
        <v>9.740675086823904</v>
      </c>
      <c r="Q7" s="1">
        <f>'C. Rigidezza e Confronto'!G5</f>
        <v>14.6</v>
      </c>
      <c r="R7" s="1">
        <f>'C. Rigidezza e Confronto'!H5</f>
        <v>8.3699999999999992</v>
      </c>
      <c r="S7" s="29">
        <f>'C. Rigidezza e Confronto'!I5</f>
        <v>9.1915722267738289</v>
      </c>
    </row>
    <row r="8" spans="2:19">
      <c r="B8" s="99">
        <v>2</v>
      </c>
      <c r="C8" s="31">
        <f>C6</f>
        <v>402.94499999999999</v>
      </c>
      <c r="D8" s="1">
        <v>10</v>
      </c>
      <c r="E8" s="38">
        <f t="shared" si="0"/>
        <v>4029.45</v>
      </c>
      <c r="F8" s="29">
        <f t="shared" si="3"/>
        <v>410.74923547400607</v>
      </c>
      <c r="H8" s="294">
        <f>H7</f>
        <v>3924.9563228602583</v>
      </c>
      <c r="I8" s="31">
        <f t="shared" si="1"/>
        <v>400.09748449136168</v>
      </c>
      <c r="J8" s="29">
        <f t="shared" si="2"/>
        <v>9.740675086823904</v>
      </c>
      <c r="L8" s="99">
        <v>3</v>
      </c>
      <c r="M8" s="31">
        <f t="shared" si="4"/>
        <v>402.94499999999999</v>
      </c>
      <c r="N8" s="29">
        <f t="shared" si="5"/>
        <v>410.74923547400607</v>
      </c>
      <c r="O8" s="31">
        <f t="shared" si="6"/>
        <v>3924.9563228602583</v>
      </c>
      <c r="P8" s="29">
        <f t="shared" si="7"/>
        <v>9.740675086823904</v>
      </c>
      <c r="Q8" s="1">
        <f>'C. Rigidezza e Confronto'!G6</f>
        <v>14.6</v>
      </c>
      <c r="R8" s="1">
        <f>'C. Rigidezza e Confronto'!H6</f>
        <v>8.3699999999999992</v>
      </c>
      <c r="S8" s="29">
        <f>'C. Rigidezza e Confronto'!I6</f>
        <v>9.1915722267738289</v>
      </c>
    </row>
    <row r="9" spans="2:19" ht="15.75" thickBot="1">
      <c r="B9" s="99">
        <v>1</v>
      </c>
      <c r="C9" s="31">
        <f>'Masse Impalcato'!Q20</f>
        <v>340.88</v>
      </c>
      <c r="D9" s="2">
        <v>10</v>
      </c>
      <c r="E9" s="38">
        <f t="shared" si="0"/>
        <v>3408.8</v>
      </c>
      <c r="F9" s="29">
        <f t="shared" si="3"/>
        <v>347.48216106014269</v>
      </c>
      <c r="H9" s="295">
        <f>'Masse Impalcato'!Q35</f>
        <v>3571.3634728602583</v>
      </c>
      <c r="I9" s="169">
        <f t="shared" si="1"/>
        <v>364.05336114783466</v>
      </c>
      <c r="J9" s="55">
        <f t="shared" si="2"/>
        <v>10.476893548639575</v>
      </c>
      <c r="L9" s="99">
        <v>2</v>
      </c>
      <c r="M9" s="31">
        <f t="shared" si="4"/>
        <v>402.94499999999999</v>
      </c>
      <c r="N9" s="29">
        <f t="shared" si="5"/>
        <v>410.74923547400607</v>
      </c>
      <c r="O9" s="31">
        <f t="shared" si="6"/>
        <v>3924.9563228602583</v>
      </c>
      <c r="P9" s="29">
        <f t="shared" si="7"/>
        <v>9.740675086823904</v>
      </c>
      <c r="Q9" s="1">
        <f>'C. Rigidezza e Confronto'!G7</f>
        <v>14.6</v>
      </c>
      <c r="R9" s="1">
        <f>'C. Rigidezza e Confronto'!H7</f>
        <v>8.3699999999999992</v>
      </c>
      <c r="S9" s="29">
        <f>'C. Rigidezza e Confronto'!I7</f>
        <v>9.1915722267738289</v>
      </c>
    </row>
    <row r="10" spans="2:19" ht="15.75" thickBot="1">
      <c r="B10" s="96" t="s">
        <v>7</v>
      </c>
      <c r="C10" s="9"/>
      <c r="D10" s="9"/>
      <c r="E10" s="39">
        <f>SUM(E4:E9)</f>
        <v>23532.95</v>
      </c>
      <c r="F10" s="106">
        <f>SUM(F4:F9)</f>
        <v>2398.8735983690108</v>
      </c>
      <c r="L10" s="99">
        <v>1</v>
      </c>
      <c r="M10" s="169">
        <f t="shared" si="4"/>
        <v>340.88</v>
      </c>
      <c r="N10" s="55">
        <f t="shared" si="5"/>
        <v>347.48216106014269</v>
      </c>
      <c r="O10" s="169">
        <f t="shared" si="6"/>
        <v>3571.3634728602583</v>
      </c>
      <c r="P10" s="55">
        <f t="shared" si="7"/>
        <v>10.476893548639575</v>
      </c>
      <c r="Q10" s="2">
        <f>'C. Rigidezza e Confronto'!G8</f>
        <v>14.6</v>
      </c>
      <c r="R10" s="2">
        <f>'C. Rigidezza e Confronto'!H8</f>
        <v>8.64</v>
      </c>
      <c r="S10" s="55">
        <f>'C. Rigidezza e Confronto'!I8</f>
        <v>8.4078653652398589</v>
      </c>
    </row>
    <row r="12" spans="2:19" ht="18.75">
      <c r="B12" s="155" t="s">
        <v>232</v>
      </c>
      <c r="C12" s="391"/>
      <c r="D12" s="391"/>
      <c r="E12" s="391"/>
      <c r="F12" s="391"/>
      <c r="G12" s="391"/>
      <c r="H12" s="391"/>
      <c r="I12" s="391"/>
      <c r="J12" s="391"/>
      <c r="K12" s="391"/>
    </row>
    <row r="13" spans="2:19" ht="15.75" thickBot="1">
      <c r="B13" s="391"/>
      <c r="C13" s="391"/>
      <c r="D13" s="391"/>
      <c r="E13" s="391"/>
      <c r="F13" s="391"/>
      <c r="G13" s="391"/>
      <c r="H13" s="391"/>
      <c r="I13" s="391"/>
      <c r="J13" s="391"/>
      <c r="K13" s="391"/>
    </row>
    <row r="14" spans="2:19" ht="15.75" thickBot="1">
      <c r="B14" s="98" t="s">
        <v>75</v>
      </c>
      <c r="C14" s="101" t="s">
        <v>88</v>
      </c>
      <c r="D14" s="98" t="s">
        <v>81</v>
      </c>
      <c r="E14" s="98" t="s">
        <v>90</v>
      </c>
      <c r="F14" s="101" t="s">
        <v>382</v>
      </c>
      <c r="G14" s="101" t="s">
        <v>159</v>
      </c>
      <c r="H14" s="391"/>
      <c r="I14" s="391"/>
      <c r="J14" s="474" t="s">
        <v>91</v>
      </c>
      <c r="K14" s="475"/>
    </row>
    <row r="15" spans="2:19" ht="18">
      <c r="B15" s="120" t="s">
        <v>143</v>
      </c>
      <c r="C15" s="84">
        <f t="shared" ref="C15:C20" si="8">H4</f>
        <v>3381.7181068602586</v>
      </c>
      <c r="D15" s="393">
        <f>K16</f>
        <v>19.7</v>
      </c>
      <c r="E15" s="84">
        <f t="shared" ref="E15:E20" si="9">C15*D15</f>
        <v>66619.846705147094</v>
      </c>
      <c r="F15" s="7">
        <f t="shared" ref="F15:F20" si="10">E15/$E$21*$K$19</f>
        <v>478.57618646294549</v>
      </c>
      <c r="G15" s="7">
        <f>F15</f>
        <v>478.57618646294549</v>
      </c>
      <c r="H15" s="391"/>
      <c r="I15" s="391"/>
      <c r="J15" s="103" t="s">
        <v>78</v>
      </c>
      <c r="K15" s="2">
        <v>7.4999999999999997E-2</v>
      </c>
    </row>
    <row r="16" spans="2:19">
      <c r="B16" s="120">
        <v>5</v>
      </c>
      <c r="C16" s="38">
        <f t="shared" si="8"/>
        <v>3827.006322860258</v>
      </c>
      <c r="D16" s="4">
        <f>D15-3.2</f>
        <v>16.5</v>
      </c>
      <c r="E16" s="38">
        <f t="shared" si="9"/>
        <v>63145.604327194254</v>
      </c>
      <c r="F16" s="29">
        <f t="shared" si="10"/>
        <v>453.61831354186944</v>
      </c>
      <c r="G16" s="29">
        <f>G15+F16</f>
        <v>932.19450000481493</v>
      </c>
      <c r="H16" s="391"/>
      <c r="I16" s="391"/>
      <c r="J16" s="99" t="s">
        <v>79</v>
      </c>
      <c r="K16" s="15">
        <f>3.2*5+3.7</f>
        <v>19.7</v>
      </c>
    </row>
    <row r="17" spans="1:11" ht="18">
      <c r="B17" s="120">
        <v>4</v>
      </c>
      <c r="C17" s="38">
        <f t="shared" si="8"/>
        <v>3924.9563228602583</v>
      </c>
      <c r="D17" s="4">
        <f>D16-3.2</f>
        <v>13.3</v>
      </c>
      <c r="E17" s="38">
        <f t="shared" si="9"/>
        <v>52201.919094041441</v>
      </c>
      <c r="F17" s="29">
        <f t="shared" si="10"/>
        <v>375.00229438599712</v>
      </c>
      <c r="G17" s="29">
        <f>G16+F17</f>
        <v>1307.1967943908121</v>
      </c>
      <c r="H17" s="391"/>
      <c r="I17" s="391"/>
      <c r="J17" s="99" t="s">
        <v>80</v>
      </c>
      <c r="K17" s="405">
        <v>0.66100000000000003</v>
      </c>
    </row>
    <row r="18" spans="1:11">
      <c r="B18" s="120">
        <v>3</v>
      </c>
      <c r="C18" s="38">
        <f t="shared" si="8"/>
        <v>3924.9563228602583</v>
      </c>
      <c r="D18" s="4">
        <f>D17-3.2</f>
        <v>10.100000000000001</v>
      </c>
      <c r="E18" s="38">
        <f t="shared" si="9"/>
        <v>39642.058860888617</v>
      </c>
      <c r="F18" s="29">
        <f t="shared" si="10"/>
        <v>284.77617844350158</v>
      </c>
      <c r="G18" s="29">
        <f>G17+F18</f>
        <v>1591.9729728343136</v>
      </c>
      <c r="H18" s="391"/>
      <c r="I18" s="391"/>
      <c r="J18" s="99" t="s">
        <v>82</v>
      </c>
      <c r="K18" s="267">
        <f>[1]Dati!$D$28</f>
        <v>9.813669628659899E-2</v>
      </c>
    </row>
    <row r="19" spans="1:11">
      <c r="B19" s="120">
        <v>2</v>
      </c>
      <c r="C19" s="38">
        <f t="shared" si="8"/>
        <v>3924.9563228602583</v>
      </c>
      <c r="D19" s="4">
        <f>D18-3.2</f>
        <v>6.9000000000000012</v>
      </c>
      <c r="E19" s="38">
        <f t="shared" si="9"/>
        <v>27082.198627735786</v>
      </c>
      <c r="F19" s="29">
        <f t="shared" si="10"/>
        <v>194.55006250100601</v>
      </c>
      <c r="G19" s="29">
        <f>G18+F19</f>
        <v>1786.5230353353197</v>
      </c>
      <c r="H19" s="391"/>
      <c r="I19" s="391"/>
      <c r="J19" s="99" t="s">
        <v>83</v>
      </c>
      <c r="K19" s="41">
        <f>0.85*C21*K18</f>
        <v>1881.4486093891419</v>
      </c>
    </row>
    <row r="20" spans="1:11" ht="15.75" thickBot="1">
      <c r="A20" s="43"/>
      <c r="B20" s="121">
        <v>1</v>
      </c>
      <c r="C20" s="163">
        <f t="shared" si="8"/>
        <v>3571.3634728602583</v>
      </c>
      <c r="D20" s="138">
        <f>D19-3.2</f>
        <v>3.7000000000000011</v>
      </c>
      <c r="E20" s="38">
        <f t="shared" si="9"/>
        <v>13214.044849582959</v>
      </c>
      <c r="F20" s="55">
        <f t="shared" si="10"/>
        <v>94.925574053822416</v>
      </c>
      <c r="G20" s="55">
        <f>G19+F20</f>
        <v>1881.4486093891421</v>
      </c>
      <c r="H20" s="391"/>
      <c r="I20" s="391"/>
      <c r="J20" s="391"/>
      <c r="K20" s="391"/>
    </row>
    <row r="21" spans="1:11" ht="15.75" thickBot="1">
      <c r="B21" s="18" t="s">
        <v>7</v>
      </c>
      <c r="C21" s="374">
        <f>SUM(C15:C20)</f>
        <v>22554.95687116155</v>
      </c>
      <c r="D21" s="9"/>
      <c r="E21" s="39">
        <f>SUM(E15:E20)</f>
        <v>261905.67246459014</v>
      </c>
      <c r="F21" s="9"/>
      <c r="G21" s="19"/>
      <c r="H21" s="391"/>
      <c r="I21" s="391"/>
      <c r="J21" s="391"/>
      <c r="K21" s="391"/>
    </row>
    <row r="22" spans="1:11">
      <c r="B22" s="391"/>
      <c r="C22" s="391"/>
      <c r="D22" s="391"/>
      <c r="E22" s="391"/>
      <c r="F22" s="391"/>
      <c r="G22" s="391"/>
      <c r="H22" s="391"/>
      <c r="I22" s="391"/>
      <c r="J22" s="391"/>
      <c r="K22" s="391"/>
    </row>
    <row r="23" spans="1:11" ht="18.75">
      <c r="B23" s="155" t="s">
        <v>233</v>
      </c>
      <c r="C23" s="11"/>
      <c r="D23" s="11"/>
      <c r="E23" s="151"/>
      <c r="F23" s="53"/>
      <c r="G23" s="53"/>
      <c r="H23" s="391"/>
      <c r="I23" s="391"/>
      <c r="J23" s="391"/>
      <c r="K23" s="391"/>
    </row>
    <row r="24" spans="1:11" ht="15.75" thickBot="1">
      <c r="B24" s="11"/>
      <c r="C24" s="11"/>
      <c r="D24" s="11"/>
      <c r="E24" s="11"/>
      <c r="F24" s="53"/>
      <c r="G24" s="53"/>
      <c r="H24" s="391"/>
      <c r="I24" s="391"/>
      <c r="J24" s="391"/>
      <c r="K24" s="391"/>
    </row>
    <row r="25" spans="1:11" ht="15.75" thickBot="1">
      <c r="B25" s="98" t="s">
        <v>75</v>
      </c>
      <c r="C25" s="101" t="s">
        <v>88</v>
      </c>
      <c r="D25" s="98" t="s">
        <v>81</v>
      </c>
      <c r="E25" s="98" t="s">
        <v>90</v>
      </c>
      <c r="F25" s="101" t="s">
        <v>383</v>
      </c>
      <c r="G25" s="101" t="s">
        <v>159</v>
      </c>
      <c r="H25" s="391"/>
      <c r="I25" s="391"/>
      <c r="J25" s="474" t="s">
        <v>91</v>
      </c>
      <c r="K25" s="475"/>
    </row>
    <row r="26" spans="1:11" ht="18">
      <c r="B26" s="120" t="s">
        <v>143</v>
      </c>
      <c r="C26" s="84">
        <f t="shared" ref="C26:C31" si="11">H4</f>
        <v>3381.7181068602586</v>
      </c>
      <c r="D26" s="393">
        <f>K27</f>
        <v>19.7</v>
      </c>
      <c r="E26" s="186">
        <f t="shared" ref="E26:E31" si="12">C26*D26</f>
        <v>66619.846705147094</v>
      </c>
      <c r="F26" s="7">
        <f t="shared" ref="F26:F31" si="13">E26/$E$32*$K$30</f>
        <v>415.14285991077031</v>
      </c>
      <c r="G26" s="26">
        <f>F26</f>
        <v>415.14285991077031</v>
      </c>
      <c r="H26" s="391"/>
      <c r="I26" s="391"/>
      <c r="J26" s="103" t="s">
        <v>78</v>
      </c>
      <c r="K26" s="2">
        <v>7.4999999999999997E-2</v>
      </c>
    </row>
    <row r="27" spans="1:11">
      <c r="A27" s="142"/>
      <c r="B27" s="120">
        <v>5</v>
      </c>
      <c r="C27" s="38">
        <f t="shared" si="11"/>
        <v>3827.006322860258</v>
      </c>
      <c r="D27" s="4">
        <f>D26-3.2</f>
        <v>16.5</v>
      </c>
      <c r="E27" s="187">
        <f t="shared" si="12"/>
        <v>63145.604327194254</v>
      </c>
      <c r="F27" s="29">
        <f t="shared" si="13"/>
        <v>393.49305151072929</v>
      </c>
      <c r="G27" s="78">
        <f>G26+F27</f>
        <v>808.6359114214996</v>
      </c>
      <c r="H27" s="391"/>
      <c r="I27" s="391"/>
      <c r="J27" s="99" t="s">
        <v>79</v>
      </c>
      <c r="K27" s="15">
        <f>3.2*5+3.7</f>
        <v>19.7</v>
      </c>
    </row>
    <row r="28" spans="1:11" ht="18">
      <c r="B28" s="120">
        <v>4</v>
      </c>
      <c r="C28" s="38">
        <f t="shared" si="11"/>
        <v>3924.9563228602583</v>
      </c>
      <c r="D28" s="4">
        <f>D27-3.2</f>
        <v>13.3</v>
      </c>
      <c r="E28" s="187">
        <f t="shared" si="12"/>
        <v>52201.919094041441</v>
      </c>
      <c r="F28" s="29">
        <f t="shared" si="13"/>
        <v>325.29726586501852</v>
      </c>
      <c r="G28" s="78">
        <f>G27+F28</f>
        <v>1133.933177286518</v>
      </c>
      <c r="H28" s="154"/>
      <c r="I28" s="154"/>
      <c r="J28" s="99" t="s">
        <v>80</v>
      </c>
      <c r="K28" s="405">
        <v>0.76200000000000001</v>
      </c>
    </row>
    <row r="29" spans="1:11">
      <c r="B29" s="120">
        <v>3</v>
      </c>
      <c r="C29" s="38">
        <f t="shared" si="11"/>
        <v>3924.9563228602583</v>
      </c>
      <c r="D29" s="4">
        <f>D28-3.2</f>
        <v>10.100000000000001</v>
      </c>
      <c r="E29" s="187">
        <f t="shared" si="12"/>
        <v>39642.058860888617</v>
      </c>
      <c r="F29" s="29">
        <f t="shared" si="13"/>
        <v>247.03025452907423</v>
      </c>
      <c r="G29" s="78">
        <f>G28+F29</f>
        <v>1380.9634318155922</v>
      </c>
      <c r="H29" s="391"/>
      <c r="I29" s="391"/>
      <c r="J29" s="99" t="s">
        <v>82</v>
      </c>
      <c r="K29" s="267">
        <f>[2]Dati!$D$28</f>
        <v>8.5129076437587839E-2</v>
      </c>
    </row>
    <row r="30" spans="1:11">
      <c r="B30" s="120">
        <v>2</v>
      </c>
      <c r="C30" s="38">
        <f t="shared" si="11"/>
        <v>3924.9563228602583</v>
      </c>
      <c r="D30" s="4">
        <f>D29-3.2</f>
        <v>6.9000000000000012</v>
      </c>
      <c r="E30" s="187">
        <f t="shared" si="12"/>
        <v>27082.198627735786</v>
      </c>
      <c r="F30" s="29">
        <f t="shared" si="13"/>
        <v>168.76324319312991</v>
      </c>
      <c r="G30" s="78">
        <f>G29+F30</f>
        <v>1549.7266750087222</v>
      </c>
      <c r="H30" s="391"/>
      <c r="I30" s="391"/>
      <c r="J30" s="99" t="s">
        <v>83</v>
      </c>
      <c r="K30" s="41">
        <f>0.85*C32*K29</f>
        <v>1632.0702504018673</v>
      </c>
    </row>
    <row r="31" spans="1:11" ht="15.75" thickBot="1">
      <c r="B31" s="121">
        <v>1</v>
      </c>
      <c r="C31" s="163">
        <f t="shared" si="11"/>
        <v>3571.3634728602583</v>
      </c>
      <c r="D31" s="138">
        <f>D30-3.2</f>
        <v>3.7000000000000011</v>
      </c>
      <c r="E31" s="187">
        <f t="shared" si="12"/>
        <v>13214.044849582959</v>
      </c>
      <c r="F31" s="29">
        <f t="shared" si="13"/>
        <v>82.343575393145173</v>
      </c>
      <c r="G31" s="188">
        <f>G30+F31</f>
        <v>1632.0702504018673</v>
      </c>
      <c r="H31" s="391"/>
      <c r="I31" s="391"/>
      <c r="J31" s="391"/>
      <c r="K31" s="391"/>
    </row>
    <row r="32" spans="1:11" ht="15.75" thickBot="1">
      <c r="B32" s="18" t="s">
        <v>7</v>
      </c>
      <c r="C32" s="374">
        <f>SUM(C26:C31)</f>
        <v>22554.95687116155</v>
      </c>
      <c r="D32" s="9"/>
      <c r="E32" s="39">
        <f>SUM(E26:E31)</f>
        <v>261905.67246459014</v>
      </c>
      <c r="F32" s="9"/>
      <c r="G32" s="19"/>
      <c r="H32" s="391"/>
      <c r="I32" s="391"/>
      <c r="J32" s="391"/>
      <c r="K32" s="391"/>
    </row>
    <row r="33" spans="2:11">
      <c r="B33" s="391"/>
      <c r="C33" s="391"/>
      <c r="D33" s="391"/>
      <c r="E33" s="391"/>
      <c r="F33" s="391"/>
      <c r="G33" s="391"/>
      <c r="H33" s="391"/>
      <c r="I33" s="391"/>
      <c r="J33" s="391"/>
      <c r="K33" s="391"/>
    </row>
    <row r="34" spans="2:11">
      <c r="B34" s="391"/>
      <c r="C34" s="391"/>
      <c r="D34" s="391"/>
      <c r="E34" s="391"/>
      <c r="F34" s="391"/>
      <c r="G34" s="391"/>
      <c r="H34" s="391"/>
      <c r="I34" s="391"/>
      <c r="J34" s="391"/>
      <c r="K34" s="391"/>
    </row>
    <row r="35" spans="2:11" ht="18.75">
      <c r="B35" s="343" t="s">
        <v>370</v>
      </c>
      <c r="C35" s="342"/>
      <c r="D35" s="342" t="s">
        <v>371</v>
      </c>
      <c r="E35" s="392"/>
      <c r="F35" s="391"/>
      <c r="G35" s="391"/>
      <c r="H35" s="391"/>
      <c r="I35" s="391"/>
    </row>
    <row r="36" spans="2:11" ht="15.75" thickBot="1">
      <c r="B36" s="391"/>
      <c r="C36" s="391"/>
      <c r="D36" s="391"/>
      <c r="E36" s="391"/>
      <c r="F36" s="391"/>
      <c r="G36" s="391"/>
      <c r="H36" s="391"/>
      <c r="I36" s="391"/>
    </row>
    <row r="37" spans="2:11" ht="15.75" thickBot="1">
      <c r="B37" s="98" t="s">
        <v>75</v>
      </c>
      <c r="C37" s="98" t="s">
        <v>88</v>
      </c>
      <c r="D37" s="98" t="s">
        <v>81</v>
      </c>
      <c r="E37" s="98" t="s">
        <v>90</v>
      </c>
      <c r="F37" s="101" t="s">
        <v>158</v>
      </c>
      <c r="G37" s="101" t="s">
        <v>159</v>
      </c>
      <c r="H37" s="391"/>
      <c r="I37" s="391"/>
      <c r="J37" s="474" t="s">
        <v>91</v>
      </c>
      <c r="K37" s="475"/>
    </row>
    <row r="38" spans="2:11" ht="18">
      <c r="B38" s="99" t="s">
        <v>143</v>
      </c>
      <c r="C38" s="95">
        <f t="shared" ref="C38:C43" si="14">H4</f>
        <v>3381.7181068602586</v>
      </c>
      <c r="D38" s="390">
        <f t="shared" ref="D38:D43" si="15">D15</f>
        <v>19.7</v>
      </c>
      <c r="E38" s="84">
        <f t="shared" ref="E38:E43" si="16">C38*D38</f>
        <v>66619.846705147094</v>
      </c>
      <c r="F38" s="26">
        <f t="shared" ref="F38:F43" si="17">E38/$E$44*$K$42</f>
        <v>451.26798752069476</v>
      </c>
      <c r="G38" s="7">
        <f>F38</f>
        <v>451.26798752069476</v>
      </c>
      <c r="H38" s="391"/>
      <c r="I38" s="391"/>
      <c r="J38" s="103" t="s">
        <v>78</v>
      </c>
      <c r="K38" s="2">
        <v>7.4999999999999997E-2</v>
      </c>
    </row>
    <row r="39" spans="2:11">
      <c r="B39" s="99">
        <v>5</v>
      </c>
      <c r="C39" s="95">
        <f t="shared" si="14"/>
        <v>3827.006322860258</v>
      </c>
      <c r="D39" s="1">
        <f t="shared" si="15"/>
        <v>16.5</v>
      </c>
      <c r="E39" s="38">
        <f t="shared" si="16"/>
        <v>63145.604327194254</v>
      </c>
      <c r="F39" s="78">
        <f t="shared" si="17"/>
        <v>427.73424429554319</v>
      </c>
      <c r="G39" s="29">
        <f>G38+F39</f>
        <v>879.00223181623801</v>
      </c>
      <c r="H39" s="391"/>
      <c r="I39" s="391"/>
      <c r="J39" s="99" t="s">
        <v>79</v>
      </c>
      <c r="K39" s="15">
        <f>3.2*5+3.7</f>
        <v>19.7</v>
      </c>
    </row>
    <row r="40" spans="2:11" ht="18">
      <c r="B40" s="99">
        <v>4</v>
      </c>
      <c r="C40" s="95">
        <f t="shared" si="14"/>
        <v>3924.9563228602583</v>
      </c>
      <c r="D40" s="1">
        <f t="shared" si="15"/>
        <v>13.3</v>
      </c>
      <c r="E40" s="38">
        <f t="shared" si="16"/>
        <v>52201.919094041441</v>
      </c>
      <c r="F40" s="78">
        <f t="shared" si="17"/>
        <v>353.60416061218848</v>
      </c>
      <c r="G40" s="29">
        <f>G39+F40</f>
        <v>1232.6063924284265</v>
      </c>
      <c r="H40" s="391"/>
      <c r="I40" s="391"/>
      <c r="J40" s="99" t="s">
        <v>80</v>
      </c>
      <c r="K40" s="40">
        <f>K38*(K39)^(3/4)</f>
        <v>0.7013114556897867</v>
      </c>
    </row>
    <row r="41" spans="2:11">
      <c r="B41" s="99">
        <v>3</v>
      </c>
      <c r="C41" s="95">
        <f t="shared" si="14"/>
        <v>3924.9563228602583</v>
      </c>
      <c r="D41" s="1">
        <f t="shared" si="15"/>
        <v>10.100000000000001</v>
      </c>
      <c r="E41" s="38">
        <f t="shared" si="16"/>
        <v>39642.058860888617</v>
      </c>
      <c r="F41" s="78">
        <f t="shared" si="17"/>
        <v>268.52646783331608</v>
      </c>
      <c r="G41" s="29">
        <f>G40+F41</f>
        <v>1501.1328602617425</v>
      </c>
      <c r="H41" s="391"/>
      <c r="I41" s="391"/>
      <c r="J41" s="99" t="s">
        <v>82</v>
      </c>
      <c r="K41" s="40">
        <f>[3]Dati!$D$28</f>
        <v>9.253688480091575E-2</v>
      </c>
    </row>
    <row r="42" spans="2:11">
      <c r="B42" s="99">
        <v>2</v>
      </c>
      <c r="C42" s="95">
        <f t="shared" si="14"/>
        <v>3924.9563228602583</v>
      </c>
      <c r="D42" s="1">
        <f t="shared" si="15"/>
        <v>6.9000000000000012</v>
      </c>
      <c r="E42" s="38">
        <f t="shared" si="16"/>
        <v>27082.198627735786</v>
      </c>
      <c r="F42" s="78">
        <f t="shared" si="17"/>
        <v>183.44877505444367</v>
      </c>
      <c r="G42" s="29">
        <f>G41+F42</f>
        <v>1684.5816353161863</v>
      </c>
      <c r="H42" s="391"/>
      <c r="I42" s="391"/>
      <c r="J42" s="99" t="s">
        <v>83</v>
      </c>
      <c r="K42" s="41">
        <f>0.85*C44*K41</f>
        <v>1774.0906288248545</v>
      </c>
    </row>
    <row r="43" spans="2:11" ht="15.75" thickBot="1">
      <c r="B43" s="102">
        <v>1</v>
      </c>
      <c r="C43" s="95">
        <f t="shared" si="14"/>
        <v>3571.3634728602583</v>
      </c>
      <c r="D43" s="1">
        <f t="shared" si="15"/>
        <v>3.7000000000000011</v>
      </c>
      <c r="E43" s="38">
        <f t="shared" si="16"/>
        <v>13214.044849582959</v>
      </c>
      <c r="F43" s="78">
        <f t="shared" si="17"/>
        <v>89.508993508668524</v>
      </c>
      <c r="G43" s="29">
        <f>G42+F43</f>
        <v>1774.0906288248548</v>
      </c>
      <c r="H43" s="391"/>
      <c r="I43" s="391"/>
      <c r="J43" s="391"/>
      <c r="K43" s="391"/>
    </row>
    <row r="44" spans="2:11" ht="15.75" thickBot="1">
      <c r="B44" s="18" t="s">
        <v>7</v>
      </c>
      <c r="C44" s="39">
        <f>SUM(C38:C43)</f>
        <v>22554.95687116155</v>
      </c>
      <c r="D44" s="9"/>
      <c r="E44" s="39">
        <f>SUM(E38:E43)</f>
        <v>261905.67246459014</v>
      </c>
      <c r="F44" s="9"/>
      <c r="G44" s="19"/>
      <c r="H44" s="391"/>
      <c r="I44" s="391"/>
      <c r="J44" s="391"/>
      <c r="K44" s="391"/>
    </row>
  </sheetData>
  <mergeCells count="3">
    <mergeCell ref="J14:K14"/>
    <mergeCell ref="J37:K37"/>
    <mergeCell ref="J25:K25"/>
  </mergeCells>
  <pageMargins left="0.7" right="0.7" top="0.75" bottom="0.75" header="0.3" footer="0.3"/>
  <pageSetup paperSize="9" orientation="portrait" horizontalDpi="0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B2:V47"/>
  <sheetViews>
    <sheetView workbookViewId="0">
      <selection activeCell="G39" sqref="G39"/>
    </sheetView>
  </sheetViews>
  <sheetFormatPr defaultRowHeight="15"/>
  <cols>
    <col min="1" max="1" width="7.85546875" customWidth="1"/>
    <col min="2" max="2" width="18.28515625" customWidth="1"/>
    <col min="3" max="3" width="13.42578125" customWidth="1"/>
    <col min="4" max="4" width="18.85546875" customWidth="1"/>
    <col min="5" max="5" width="14.85546875" customWidth="1"/>
    <col min="6" max="6" width="15.5703125" customWidth="1"/>
    <col min="7" max="7" width="21.5703125" customWidth="1"/>
    <col min="8" max="8" width="14.7109375" customWidth="1"/>
    <col min="9" max="9" width="19.42578125" customWidth="1"/>
    <col min="10" max="10" width="14" customWidth="1"/>
    <col min="13" max="13" width="14.7109375" customWidth="1"/>
    <col min="14" max="14" width="12.140625" customWidth="1"/>
    <col min="15" max="15" width="19.42578125" customWidth="1"/>
    <col min="16" max="16" width="16.7109375" customWidth="1"/>
    <col min="17" max="17" width="14.85546875" customWidth="1"/>
    <col min="18" max="18" width="23" customWidth="1"/>
    <col min="19" max="19" width="15.7109375" customWidth="1"/>
    <col min="20" max="20" width="19.140625" customWidth="1"/>
    <col min="21" max="21" width="14.42578125" customWidth="1"/>
  </cols>
  <sheetData>
    <row r="2" spans="2:22" ht="15.75" thickBot="1">
      <c r="B2" s="115"/>
      <c r="C2" s="98" t="s">
        <v>95</v>
      </c>
      <c r="D2" s="101" t="s">
        <v>94</v>
      </c>
      <c r="F2" s="101" t="s">
        <v>98</v>
      </c>
      <c r="G2" s="476">
        <v>3.2</v>
      </c>
      <c r="H2" s="477"/>
    </row>
    <row r="3" spans="2:22" ht="15.75" thickBot="1">
      <c r="B3" s="97" t="s">
        <v>93</v>
      </c>
      <c r="C3" s="178">
        <v>16</v>
      </c>
      <c r="D3" s="42">
        <v>14</v>
      </c>
      <c r="F3" s="101" t="s">
        <v>102</v>
      </c>
      <c r="G3" s="478">
        <f>G2+0.5</f>
        <v>3.7</v>
      </c>
      <c r="H3" s="479"/>
      <c r="M3" s="49"/>
      <c r="N3" s="49"/>
      <c r="O3" s="49"/>
    </row>
    <row r="4" spans="2:22">
      <c r="B4" s="97" t="s">
        <v>96</v>
      </c>
      <c r="C4" s="176">
        <v>2</v>
      </c>
      <c r="D4" s="2">
        <v>2</v>
      </c>
      <c r="F4" s="107" t="s">
        <v>103</v>
      </c>
      <c r="G4" s="44"/>
      <c r="H4" s="45"/>
      <c r="M4" s="12"/>
      <c r="N4" s="11"/>
      <c r="O4" s="11"/>
    </row>
    <row r="5" spans="2:22">
      <c r="M5" s="11"/>
      <c r="N5" s="53"/>
      <c r="O5" s="53"/>
    </row>
    <row r="6" spans="2:22">
      <c r="M6" s="11"/>
      <c r="N6" s="53"/>
      <c r="O6" s="53"/>
    </row>
    <row r="7" spans="2:22">
      <c r="M7" s="11"/>
      <c r="N7" s="53"/>
      <c r="O7" s="53"/>
    </row>
    <row r="8" spans="2:22">
      <c r="M8" s="11"/>
      <c r="N8" s="53"/>
      <c r="O8" s="53"/>
    </row>
    <row r="9" spans="2:22">
      <c r="M9" s="11"/>
      <c r="N9" s="53"/>
      <c r="O9" s="53"/>
    </row>
    <row r="10" spans="2:22" ht="18.75">
      <c r="B10" s="155" t="s">
        <v>232</v>
      </c>
      <c r="M10" s="155" t="s">
        <v>233</v>
      </c>
      <c r="N10" s="11"/>
      <c r="O10" s="53"/>
      <c r="P10" s="154"/>
      <c r="Q10" s="154"/>
      <c r="R10" s="154"/>
      <c r="S10" s="154"/>
      <c r="T10" s="154"/>
      <c r="U10" s="154"/>
      <c r="V10" s="154"/>
    </row>
    <row r="12" spans="2:22" ht="18">
      <c r="B12" s="98" t="s">
        <v>75</v>
      </c>
      <c r="C12" s="98" t="s">
        <v>84</v>
      </c>
      <c r="D12" s="98" t="s">
        <v>97</v>
      </c>
      <c r="E12" s="101" t="s">
        <v>86</v>
      </c>
      <c r="F12" s="98" t="s">
        <v>100</v>
      </c>
      <c r="G12" s="98" t="s">
        <v>101</v>
      </c>
      <c r="H12" s="409" t="s">
        <v>67</v>
      </c>
      <c r="I12" s="116" t="s">
        <v>104</v>
      </c>
      <c r="J12" s="117" t="s">
        <v>107</v>
      </c>
      <c r="M12" s="98" t="s">
        <v>75</v>
      </c>
      <c r="N12" s="101" t="s">
        <v>84</v>
      </c>
      <c r="O12" s="98" t="s">
        <v>97</v>
      </c>
      <c r="P12" s="101" t="s">
        <v>86</v>
      </c>
      <c r="Q12" s="98" t="s">
        <v>100</v>
      </c>
      <c r="R12" s="98" t="s">
        <v>101</v>
      </c>
      <c r="S12" s="408" t="s">
        <v>67</v>
      </c>
      <c r="T12" s="116" t="s">
        <v>104</v>
      </c>
      <c r="U12" s="117" t="s">
        <v>107</v>
      </c>
    </row>
    <row r="13" spans="2:22">
      <c r="B13" s="99" t="s">
        <v>143</v>
      </c>
      <c r="C13" s="7">
        <f>'Masse e Forze'!G15</f>
        <v>478.57618646294549</v>
      </c>
      <c r="D13" s="206">
        <f>C13/'Periodo proprio'!C15</f>
        <v>28.500738318250392</v>
      </c>
      <c r="E13" s="406">
        <f>0.4*$G$2</f>
        <v>1.2800000000000002</v>
      </c>
      <c r="F13" s="7">
        <f t="shared" ref="F13:F18" si="0">D13*E13</f>
        <v>36.480945047360507</v>
      </c>
      <c r="G13" s="7">
        <f>F13/2</f>
        <v>18.240472523680253</v>
      </c>
      <c r="H13" s="411">
        <v>4.5999999999999996</v>
      </c>
      <c r="I13" s="7">
        <f t="shared" ref="I13:I18" si="1">2*G13/H13</f>
        <v>7.9306402276870669</v>
      </c>
      <c r="J13" s="7">
        <f>I13</f>
        <v>7.9306402276870669</v>
      </c>
      <c r="M13" s="120" t="s">
        <v>143</v>
      </c>
      <c r="N13" s="7">
        <f>'Masse e Forze'!G26</f>
        <v>415.14285991077031</v>
      </c>
      <c r="O13" s="413">
        <f>N13/'Periodo proprio'!D15</f>
        <v>28.071839191999604</v>
      </c>
      <c r="P13" s="406">
        <f>0.4*$G$2</f>
        <v>1.2800000000000002</v>
      </c>
      <c r="Q13" s="7">
        <f t="shared" ref="Q13:Q18" si="2">O13*P13</f>
        <v>35.9319541657595</v>
      </c>
      <c r="R13" s="7">
        <f>Q13/2</f>
        <v>17.96597708287975</v>
      </c>
      <c r="S13" s="411">
        <v>4.5999999999999996</v>
      </c>
      <c r="T13" s="26">
        <f t="shared" ref="T13:T18" si="3">2*R13/S13</f>
        <v>7.8112943838607611</v>
      </c>
      <c r="U13" s="7">
        <f>T13</f>
        <v>7.8112943838607611</v>
      </c>
    </row>
    <row r="14" spans="2:22">
      <c r="B14" s="99">
        <v>5</v>
      </c>
      <c r="C14" s="29">
        <f>'Masse e Forze'!G16</f>
        <v>932.19450000481493</v>
      </c>
      <c r="D14" s="56">
        <f>C14/'Periodo proprio'!C16</f>
        <v>56.406270827777554</v>
      </c>
      <c r="E14" s="1">
        <f>0.5*$G$2</f>
        <v>1.6</v>
      </c>
      <c r="F14" s="29">
        <f t="shared" si="0"/>
        <v>90.25003332444409</v>
      </c>
      <c r="G14" s="29">
        <f>(F13+F14)/2</f>
        <v>63.365489185902298</v>
      </c>
      <c r="H14" s="4">
        <f>H13</f>
        <v>4.5999999999999996</v>
      </c>
      <c r="I14" s="29">
        <f t="shared" si="1"/>
        <v>27.550212689522741</v>
      </c>
      <c r="J14" s="29">
        <f>J13+I14</f>
        <v>35.480852917209809</v>
      </c>
      <c r="M14" s="120">
        <v>5</v>
      </c>
      <c r="N14" s="29">
        <f>'Masse e Forze'!G27</f>
        <v>808.6359114214996</v>
      </c>
      <c r="O14" s="266">
        <f>N14/'Periodo proprio'!D16</f>
        <v>60.491818161704273</v>
      </c>
      <c r="P14" s="1">
        <f>0.5*$G$2</f>
        <v>1.6</v>
      </c>
      <c r="Q14" s="29">
        <f t="shared" si="2"/>
        <v>96.786909058726849</v>
      </c>
      <c r="R14" s="29">
        <f>(Q13+Q14)/2</f>
        <v>66.359431612243171</v>
      </c>
      <c r="S14" s="4">
        <f>S13</f>
        <v>4.5999999999999996</v>
      </c>
      <c r="T14" s="78">
        <f t="shared" si="3"/>
        <v>28.851926787931816</v>
      </c>
      <c r="U14" s="29">
        <f>U13+T14</f>
        <v>36.663221171792578</v>
      </c>
    </row>
    <row r="15" spans="2:22">
      <c r="B15" s="99">
        <v>4</v>
      </c>
      <c r="C15" s="29">
        <f>'Masse e Forze'!G17</f>
        <v>1307.1967943908121</v>
      </c>
      <c r="D15" s="56">
        <f>C15/'Periodo proprio'!C17</f>
        <v>80.22990054271466</v>
      </c>
      <c r="E15" s="1">
        <f>0.5*$G$2</f>
        <v>1.6</v>
      </c>
      <c r="F15" s="29">
        <f t="shared" si="0"/>
        <v>128.36784086834345</v>
      </c>
      <c r="G15" s="29">
        <f>(F14+F15)/2</f>
        <v>109.30893709639378</v>
      </c>
      <c r="H15" s="4">
        <f>H14</f>
        <v>4.5999999999999996</v>
      </c>
      <c r="I15" s="29">
        <f t="shared" si="1"/>
        <v>47.525624824519035</v>
      </c>
      <c r="J15" s="29">
        <f>J14+I15</f>
        <v>83.006477741728844</v>
      </c>
      <c r="M15" s="120">
        <v>4</v>
      </c>
      <c r="N15" s="29">
        <f>'Masse e Forze'!G28</f>
        <v>1133.933177286518</v>
      </c>
      <c r="O15" s="266">
        <f>N15/'Periodo proprio'!D17</f>
        <v>84.969931948930451</v>
      </c>
      <c r="P15" s="1">
        <f>0.5*$G$2</f>
        <v>1.6</v>
      </c>
      <c r="Q15" s="29">
        <f t="shared" si="2"/>
        <v>135.95189111828873</v>
      </c>
      <c r="R15" s="29">
        <f>(Q14+Q15)/2</f>
        <v>116.36940008850779</v>
      </c>
      <c r="S15" s="4">
        <f t="shared" ref="S15:S18" si="4">S14</f>
        <v>4.5999999999999996</v>
      </c>
      <c r="T15" s="78">
        <f t="shared" si="3"/>
        <v>50.59539134282948</v>
      </c>
      <c r="U15" s="29">
        <f>U14+T15</f>
        <v>87.258612514622058</v>
      </c>
    </row>
    <row r="16" spans="2:22">
      <c r="B16" s="99">
        <v>3</v>
      </c>
      <c r="C16" s="29">
        <f>'Masse e Forze'!G18</f>
        <v>1591.9729728343136</v>
      </c>
      <c r="D16" s="56">
        <f>C16/'Periodo proprio'!C18</f>
        <v>97.708190400443442</v>
      </c>
      <c r="E16" s="1">
        <f>0.5*$G$2</f>
        <v>1.6</v>
      </c>
      <c r="F16" s="29">
        <f t="shared" si="0"/>
        <v>156.33310464070951</v>
      </c>
      <c r="G16" s="29">
        <f>(F15+F16)/2</f>
        <v>142.35047275452649</v>
      </c>
      <c r="H16" s="4">
        <f>H15</f>
        <v>4.5999999999999996</v>
      </c>
      <c r="I16" s="29">
        <f t="shared" si="1"/>
        <v>61.891509893272392</v>
      </c>
      <c r="J16" s="29">
        <f>J15+I16</f>
        <v>144.89798763500124</v>
      </c>
      <c r="M16" s="120">
        <v>3</v>
      </c>
      <c r="N16" s="29">
        <f>'Masse e Forze'!G29</f>
        <v>1380.9634318155922</v>
      </c>
      <c r="O16" s="266">
        <f>N16/'Periodo proprio'!D18</f>
        <v>103.48084982055623</v>
      </c>
      <c r="P16" s="1">
        <f>0.5*$G$2</f>
        <v>1.6</v>
      </c>
      <c r="Q16" s="29">
        <f t="shared" si="2"/>
        <v>165.56935971288999</v>
      </c>
      <c r="R16" s="29">
        <f>(Q15+Q16)/2</f>
        <v>150.76062541558935</v>
      </c>
      <c r="S16" s="4">
        <f t="shared" si="4"/>
        <v>4.5999999999999996</v>
      </c>
      <c r="T16" s="78">
        <f t="shared" si="3"/>
        <v>65.548098006777977</v>
      </c>
      <c r="U16" s="29">
        <f>U15+T16</f>
        <v>152.80671052140002</v>
      </c>
    </row>
    <row r="17" spans="2:21">
      <c r="B17" s="99">
        <v>2</v>
      </c>
      <c r="C17" s="29">
        <f>'Masse e Forze'!G19</f>
        <v>1786.5230353353197</v>
      </c>
      <c r="D17" s="56">
        <f>C17/'Periodo proprio'!C19</f>
        <v>109.64880426364428</v>
      </c>
      <c r="E17" s="1">
        <f>0.5*$G$2</f>
        <v>1.6</v>
      </c>
      <c r="F17" s="29">
        <f t="shared" si="0"/>
        <v>175.43808682183086</v>
      </c>
      <c r="G17" s="29">
        <f>(F16+F17)/2</f>
        <v>165.8855957312702</v>
      </c>
      <c r="H17" s="4">
        <f>H16</f>
        <v>4.5999999999999996</v>
      </c>
      <c r="I17" s="29">
        <f t="shared" si="1"/>
        <v>72.124172057074006</v>
      </c>
      <c r="J17" s="29">
        <f>J16+I17</f>
        <v>217.02215969207526</v>
      </c>
      <c r="M17" s="120">
        <v>2</v>
      </c>
      <c r="N17" s="29">
        <f>'Masse e Forze'!G30</f>
        <v>1549.7266750087222</v>
      </c>
      <c r="O17" s="266">
        <f>N17/'Periodo proprio'!D19</f>
        <v>116.12692242592433</v>
      </c>
      <c r="P17" s="1">
        <f>0.5*$G$2</f>
        <v>1.6</v>
      </c>
      <c r="Q17" s="29">
        <f t="shared" si="2"/>
        <v>185.80307588147895</v>
      </c>
      <c r="R17" s="29">
        <f>(Q16+Q17)/2</f>
        <v>175.68621779718447</v>
      </c>
      <c r="S17" s="4">
        <f t="shared" si="4"/>
        <v>4.5999999999999996</v>
      </c>
      <c r="T17" s="78">
        <f t="shared" si="3"/>
        <v>76.38531208573238</v>
      </c>
      <c r="U17" s="29">
        <f>U16+T17</f>
        <v>229.1920226071324</v>
      </c>
    </row>
    <row r="18" spans="2:21">
      <c r="B18" s="102" t="s">
        <v>144</v>
      </c>
      <c r="C18" s="55">
        <f>'Masse e Forze'!G20</f>
        <v>1881.4486093891421</v>
      </c>
      <c r="D18" s="212">
        <f>C18/'Periodo proprio'!C20</f>
        <v>115.45539763305764</v>
      </c>
      <c r="E18" s="2">
        <f>G3*0.4</f>
        <v>1.4800000000000002</v>
      </c>
      <c r="F18" s="55">
        <f t="shared" si="0"/>
        <v>170.87398849692534</v>
      </c>
      <c r="G18" s="55">
        <f>(F17+F18)/2</f>
        <v>173.15603765937811</v>
      </c>
      <c r="H18" s="138">
        <f>H17</f>
        <v>4.5999999999999996</v>
      </c>
      <c r="I18" s="55">
        <f t="shared" si="1"/>
        <v>75.285233764947009</v>
      </c>
      <c r="J18" s="55">
        <f>J17+I18</f>
        <v>292.30739345702227</v>
      </c>
      <c r="M18" s="121" t="s">
        <v>144</v>
      </c>
      <c r="N18" s="55">
        <f>'Masse e Forze'!G31</f>
        <v>1632.0702504018673</v>
      </c>
      <c r="O18" s="401">
        <f>N18/'Periodo proprio'!D20</f>
        <v>103.51566802609986</v>
      </c>
      <c r="P18" s="2">
        <f>G3*0.4</f>
        <v>1.4800000000000002</v>
      </c>
      <c r="Q18" s="55">
        <f t="shared" si="2"/>
        <v>153.20318867862781</v>
      </c>
      <c r="R18" s="55">
        <f>(Q17+Q18)/2</f>
        <v>169.50313228005336</v>
      </c>
      <c r="S18" s="138">
        <f t="shared" si="4"/>
        <v>4.5999999999999996</v>
      </c>
      <c r="T18" s="188">
        <f t="shared" si="3"/>
        <v>73.697014034805818</v>
      </c>
      <c r="U18" s="55">
        <f>U17+T18</f>
        <v>302.88903664193822</v>
      </c>
    </row>
    <row r="19" spans="2:21">
      <c r="B19" s="99" t="s">
        <v>99</v>
      </c>
      <c r="C19" s="410" t="s">
        <v>27</v>
      </c>
      <c r="D19" s="51" t="s">
        <v>27</v>
      </c>
      <c r="E19" s="407">
        <f>G3*0.6</f>
        <v>2.2200000000000002</v>
      </c>
      <c r="F19" s="86">
        <f>E19*D18</f>
        <v>256.310982745388</v>
      </c>
      <c r="G19" s="87" t="s">
        <v>27</v>
      </c>
      <c r="H19" s="51" t="s">
        <v>27</v>
      </c>
      <c r="I19" s="51" t="s">
        <v>27</v>
      </c>
      <c r="J19" s="52" t="s">
        <v>27</v>
      </c>
      <c r="M19" s="99" t="s">
        <v>99</v>
      </c>
      <c r="N19" s="137" t="s">
        <v>27</v>
      </c>
      <c r="O19" s="51" t="s">
        <v>27</v>
      </c>
      <c r="P19" s="407">
        <f>G3*0.6</f>
        <v>2.2200000000000002</v>
      </c>
      <c r="Q19" s="86">
        <f>P19*O18</f>
        <v>229.8047830179417</v>
      </c>
      <c r="R19" s="87" t="s">
        <v>27</v>
      </c>
      <c r="S19" s="60" t="s">
        <v>27</v>
      </c>
      <c r="T19" s="51" t="s">
        <v>27</v>
      </c>
      <c r="U19" s="179" t="s">
        <v>27</v>
      </c>
    </row>
    <row r="24" spans="2:21">
      <c r="B24" s="480" t="s">
        <v>108</v>
      </c>
      <c r="C24" s="481"/>
      <c r="D24" s="481"/>
      <c r="E24" s="481"/>
      <c r="F24" s="481"/>
      <c r="G24" s="481"/>
      <c r="H24" s="481"/>
      <c r="I24" s="481"/>
      <c r="J24" s="482"/>
      <c r="M24" s="480" t="s">
        <v>108</v>
      </c>
      <c r="N24" s="481"/>
      <c r="O24" s="481"/>
      <c r="P24" s="481"/>
      <c r="Q24" s="481"/>
      <c r="R24" s="481"/>
      <c r="S24" s="481"/>
      <c r="T24" s="481"/>
      <c r="U24" s="482"/>
    </row>
    <row r="25" spans="2:21" ht="18">
      <c r="B25" s="107" t="s">
        <v>75</v>
      </c>
      <c r="C25" s="98" t="s">
        <v>84</v>
      </c>
      <c r="D25" s="98" t="s">
        <v>110</v>
      </c>
      <c r="E25" s="98" t="s">
        <v>97</v>
      </c>
      <c r="F25" s="98" t="s">
        <v>86</v>
      </c>
      <c r="G25" s="98" t="s">
        <v>109</v>
      </c>
      <c r="H25" s="98" t="s">
        <v>100</v>
      </c>
      <c r="I25" s="98" t="s">
        <v>111</v>
      </c>
      <c r="J25" s="98" t="s">
        <v>101</v>
      </c>
      <c r="K25" s="43"/>
      <c r="L25" s="43"/>
      <c r="M25" s="184" t="s">
        <v>75</v>
      </c>
      <c r="N25" s="98" t="s">
        <v>84</v>
      </c>
      <c r="O25" s="98" t="s">
        <v>110</v>
      </c>
      <c r="P25" s="98" t="s">
        <v>97</v>
      </c>
      <c r="Q25" s="98" t="s">
        <v>86</v>
      </c>
      <c r="R25" s="98" t="s">
        <v>109</v>
      </c>
      <c r="S25" s="98" t="s">
        <v>100</v>
      </c>
      <c r="T25" s="98" t="s">
        <v>111</v>
      </c>
      <c r="U25" s="98" t="s">
        <v>101</v>
      </c>
    </row>
    <row r="26" spans="2:21">
      <c r="B26" s="99" t="s">
        <v>143</v>
      </c>
      <c r="C26" s="7">
        <f t="shared" ref="C26:C31" si="5">C13</f>
        <v>478.57618646294549</v>
      </c>
      <c r="D26" s="7">
        <f t="shared" ref="D26:D31" si="6">D13*20/100</f>
        <v>5.7001476636500783</v>
      </c>
      <c r="E26" s="22">
        <f t="shared" ref="E26:E31" si="7">D13+D26</f>
        <v>34.20088598190047</v>
      </c>
      <c r="F26" s="79">
        <f>E13</f>
        <v>1.2800000000000002</v>
      </c>
      <c r="G26" s="7">
        <f>F13*20/100</f>
        <v>7.2961890094721014</v>
      </c>
      <c r="H26" s="7">
        <f>F13+G26</f>
        <v>43.777134056832608</v>
      </c>
      <c r="I26" s="7">
        <f t="shared" ref="I26:I31" si="8">G13*20/100</f>
        <v>3.6480945047360507</v>
      </c>
      <c r="J26" s="7">
        <f t="shared" ref="J26:J31" si="9">I26+G13</f>
        <v>21.888567028416304</v>
      </c>
      <c r="K26" s="49"/>
      <c r="L26" s="49"/>
      <c r="M26" s="99" t="s">
        <v>143</v>
      </c>
      <c r="N26" s="7">
        <f t="shared" ref="N26:N31" si="10">N13</f>
        <v>415.14285991077031</v>
      </c>
      <c r="O26" s="7">
        <f t="shared" ref="O26:O31" si="11">O13*20/100</f>
        <v>5.6143678383999216</v>
      </c>
      <c r="P26" s="22">
        <f t="shared" ref="P26:P31" si="12">O13+O26</f>
        <v>33.68620703039953</v>
      </c>
      <c r="Q26" s="175">
        <f>P13</f>
        <v>1.2800000000000002</v>
      </c>
      <c r="R26" s="7">
        <f>Q13*20/100</f>
        <v>7.1863908331518997</v>
      </c>
      <c r="S26" s="7">
        <f>Q13+R26</f>
        <v>43.118344998911397</v>
      </c>
      <c r="T26" s="7">
        <f t="shared" ref="T26:T31" si="13">R13*20/100</f>
        <v>3.5931954165759499</v>
      </c>
      <c r="U26" s="7">
        <f t="shared" ref="U26:U31" si="14">T26+R13</f>
        <v>21.559172499455698</v>
      </c>
    </row>
    <row r="27" spans="2:21">
      <c r="B27" s="99">
        <v>5</v>
      </c>
      <c r="C27" s="29">
        <f t="shared" si="5"/>
        <v>932.19450000481493</v>
      </c>
      <c r="D27" s="29">
        <f t="shared" si="6"/>
        <v>11.281254165555511</v>
      </c>
      <c r="E27" s="23">
        <f t="shared" si="7"/>
        <v>67.687524993333071</v>
      </c>
      <c r="F27" s="1">
        <f t="shared" ref="F27:F32" si="15">E14</f>
        <v>1.6</v>
      </c>
      <c r="G27" s="29">
        <f t="shared" ref="G27:G32" si="16">F14*20/100</f>
        <v>18.050006664888816</v>
      </c>
      <c r="H27" s="29">
        <f t="shared" ref="H27:H32" si="17">F14+G27</f>
        <v>108.3000399893329</v>
      </c>
      <c r="I27" s="29">
        <f t="shared" si="8"/>
        <v>12.67309783718046</v>
      </c>
      <c r="J27" s="29">
        <f t="shared" si="9"/>
        <v>76.038587023082755</v>
      </c>
      <c r="M27" s="99">
        <v>5</v>
      </c>
      <c r="N27" s="29">
        <f t="shared" si="10"/>
        <v>808.6359114214996</v>
      </c>
      <c r="O27" s="29">
        <f t="shared" si="11"/>
        <v>12.098363632340854</v>
      </c>
      <c r="P27" s="23">
        <f t="shared" si="12"/>
        <v>72.590181794045122</v>
      </c>
      <c r="Q27" s="1">
        <f t="shared" ref="Q27:Q32" si="18">P14</f>
        <v>1.6</v>
      </c>
      <c r="R27" s="29">
        <f t="shared" ref="R27:R32" si="19">Q14*20/100</f>
        <v>19.35738181174537</v>
      </c>
      <c r="S27" s="29">
        <f t="shared" ref="S27:S32" si="20">Q14+R27</f>
        <v>116.14429087047222</v>
      </c>
      <c r="T27" s="29">
        <f t="shared" si="13"/>
        <v>13.271886322448633</v>
      </c>
      <c r="U27" s="29">
        <f t="shared" si="14"/>
        <v>79.631317934691808</v>
      </c>
    </row>
    <row r="28" spans="2:21">
      <c r="B28" s="99">
        <v>4</v>
      </c>
      <c r="C28" s="29">
        <f t="shared" si="5"/>
        <v>1307.1967943908121</v>
      </c>
      <c r="D28" s="29">
        <f t="shared" si="6"/>
        <v>16.045980108542931</v>
      </c>
      <c r="E28" s="23">
        <f t="shared" si="7"/>
        <v>96.275880651257594</v>
      </c>
      <c r="F28" s="1">
        <f t="shared" si="15"/>
        <v>1.6</v>
      </c>
      <c r="G28" s="29">
        <f t="shared" si="16"/>
        <v>25.673568173668691</v>
      </c>
      <c r="H28" s="29">
        <f t="shared" si="17"/>
        <v>154.04140904201213</v>
      </c>
      <c r="I28" s="29">
        <f t="shared" si="8"/>
        <v>21.861787419278752</v>
      </c>
      <c r="J28" s="29">
        <f t="shared" si="9"/>
        <v>131.17072451567253</v>
      </c>
      <c r="M28" s="99">
        <v>4</v>
      </c>
      <c r="N28" s="29">
        <f t="shared" si="10"/>
        <v>1133.933177286518</v>
      </c>
      <c r="O28" s="29">
        <f t="shared" si="11"/>
        <v>16.993986389786091</v>
      </c>
      <c r="P28" s="23">
        <f t="shared" si="12"/>
        <v>101.96391833871654</v>
      </c>
      <c r="Q28" s="1">
        <f t="shared" si="18"/>
        <v>1.6</v>
      </c>
      <c r="R28" s="29">
        <f t="shared" si="19"/>
        <v>27.190378223657746</v>
      </c>
      <c r="S28" s="29">
        <f t="shared" si="20"/>
        <v>163.14226934194647</v>
      </c>
      <c r="T28" s="29">
        <f t="shared" si="13"/>
        <v>23.273880017701558</v>
      </c>
      <c r="U28" s="29">
        <f t="shared" si="14"/>
        <v>139.64328010620935</v>
      </c>
    </row>
    <row r="29" spans="2:21">
      <c r="B29" s="99">
        <v>3</v>
      </c>
      <c r="C29" s="29">
        <f t="shared" si="5"/>
        <v>1591.9729728343136</v>
      </c>
      <c r="D29" s="29">
        <f t="shared" si="6"/>
        <v>19.541638080088688</v>
      </c>
      <c r="E29" s="23">
        <f t="shared" si="7"/>
        <v>117.24982848053213</v>
      </c>
      <c r="F29" s="1">
        <f t="shared" si="15"/>
        <v>1.6</v>
      </c>
      <c r="G29" s="29">
        <f t="shared" si="16"/>
        <v>31.266620928141901</v>
      </c>
      <c r="H29" s="29">
        <f t="shared" si="17"/>
        <v>187.5997255688514</v>
      </c>
      <c r="I29" s="29">
        <f t="shared" si="8"/>
        <v>28.470094550905298</v>
      </c>
      <c r="J29" s="29">
        <f t="shared" si="9"/>
        <v>170.82056730543178</v>
      </c>
      <c r="M29" s="99">
        <v>3</v>
      </c>
      <c r="N29" s="29">
        <f t="shared" si="10"/>
        <v>1380.9634318155922</v>
      </c>
      <c r="O29" s="29">
        <f t="shared" si="11"/>
        <v>20.696169964111245</v>
      </c>
      <c r="P29" s="23">
        <f t="shared" si="12"/>
        <v>124.17701978466748</v>
      </c>
      <c r="Q29" s="1">
        <f t="shared" si="18"/>
        <v>1.6</v>
      </c>
      <c r="R29" s="29">
        <f t="shared" si="19"/>
        <v>33.113871942578001</v>
      </c>
      <c r="S29" s="29">
        <f t="shared" si="20"/>
        <v>198.68323165546798</v>
      </c>
      <c r="T29" s="29">
        <f t="shared" si="13"/>
        <v>30.15212508311787</v>
      </c>
      <c r="U29" s="29">
        <f t="shared" si="14"/>
        <v>180.91275049870723</v>
      </c>
    </row>
    <row r="30" spans="2:21">
      <c r="B30" s="99">
        <v>2</v>
      </c>
      <c r="C30" s="29">
        <f t="shared" si="5"/>
        <v>1786.5230353353197</v>
      </c>
      <c r="D30" s="29">
        <f t="shared" si="6"/>
        <v>21.929760852728855</v>
      </c>
      <c r="E30" s="23">
        <f t="shared" si="7"/>
        <v>131.57856511637314</v>
      </c>
      <c r="F30" s="1">
        <f t="shared" si="15"/>
        <v>1.6</v>
      </c>
      <c r="G30" s="29">
        <f t="shared" si="16"/>
        <v>35.087617364366174</v>
      </c>
      <c r="H30" s="29">
        <f t="shared" si="17"/>
        <v>210.52570418619703</v>
      </c>
      <c r="I30" s="29">
        <f t="shared" si="8"/>
        <v>33.177119146254043</v>
      </c>
      <c r="J30" s="29">
        <f t="shared" si="9"/>
        <v>199.06271487752423</v>
      </c>
      <c r="M30" s="99">
        <v>2</v>
      </c>
      <c r="N30" s="29">
        <f t="shared" si="10"/>
        <v>1549.7266750087222</v>
      </c>
      <c r="O30" s="29">
        <f t="shared" si="11"/>
        <v>23.225384485184868</v>
      </c>
      <c r="P30" s="23">
        <f t="shared" si="12"/>
        <v>139.3523069111092</v>
      </c>
      <c r="Q30" s="1">
        <f t="shared" si="18"/>
        <v>1.6</v>
      </c>
      <c r="R30" s="29">
        <f t="shared" si="19"/>
        <v>37.160615176295785</v>
      </c>
      <c r="S30" s="29">
        <f t="shared" si="20"/>
        <v>222.96369105777472</v>
      </c>
      <c r="T30" s="29">
        <f t="shared" si="13"/>
        <v>35.137243559436889</v>
      </c>
      <c r="U30" s="29">
        <f t="shared" si="14"/>
        <v>210.82346135662135</v>
      </c>
    </row>
    <row r="31" spans="2:21">
      <c r="B31" s="102" t="s">
        <v>144</v>
      </c>
      <c r="C31" s="29">
        <f t="shared" si="5"/>
        <v>1881.4486093891421</v>
      </c>
      <c r="D31" s="29">
        <f t="shared" si="6"/>
        <v>23.09107952661153</v>
      </c>
      <c r="E31" s="23">
        <f t="shared" si="7"/>
        <v>138.54647715966917</v>
      </c>
      <c r="F31" s="1">
        <f t="shared" si="15"/>
        <v>1.4800000000000002</v>
      </c>
      <c r="G31" s="29">
        <f t="shared" si="16"/>
        <v>34.174797699385067</v>
      </c>
      <c r="H31" s="29">
        <f t="shared" si="17"/>
        <v>205.0487861963104</v>
      </c>
      <c r="I31" s="55">
        <f t="shared" si="8"/>
        <v>34.631207531875624</v>
      </c>
      <c r="J31" s="55">
        <f t="shared" si="9"/>
        <v>207.78724519125373</v>
      </c>
      <c r="M31" s="102" t="s">
        <v>144</v>
      </c>
      <c r="N31" s="29">
        <f t="shared" si="10"/>
        <v>1632.0702504018673</v>
      </c>
      <c r="O31" s="29">
        <f t="shared" si="11"/>
        <v>20.703133605219975</v>
      </c>
      <c r="P31" s="23">
        <f t="shared" si="12"/>
        <v>124.21880163131983</v>
      </c>
      <c r="Q31" s="1">
        <f t="shared" si="18"/>
        <v>1.4800000000000002</v>
      </c>
      <c r="R31" s="29">
        <f t="shared" si="19"/>
        <v>30.640637735725562</v>
      </c>
      <c r="S31" s="29">
        <f t="shared" si="20"/>
        <v>183.84382641435337</v>
      </c>
      <c r="T31" s="55">
        <f t="shared" si="13"/>
        <v>33.90062645601067</v>
      </c>
      <c r="U31" s="55">
        <f t="shared" si="14"/>
        <v>203.40375873606405</v>
      </c>
    </row>
    <row r="32" spans="2:21">
      <c r="B32" s="99" t="s">
        <v>99</v>
      </c>
      <c r="C32" s="6" t="s">
        <v>27</v>
      </c>
      <c r="D32" s="51" t="s">
        <v>27</v>
      </c>
      <c r="E32" s="61"/>
      <c r="F32" s="80">
        <f t="shared" si="15"/>
        <v>2.2200000000000002</v>
      </c>
      <c r="G32" s="86">
        <f t="shared" si="16"/>
        <v>51.262196549077601</v>
      </c>
      <c r="H32" s="86">
        <f t="shared" si="17"/>
        <v>307.5731792944656</v>
      </c>
      <c r="I32" s="51" t="s">
        <v>27</v>
      </c>
      <c r="J32" s="52" t="s">
        <v>27</v>
      </c>
      <c r="M32" s="99" t="s">
        <v>99</v>
      </c>
      <c r="N32" s="178" t="s">
        <v>27</v>
      </c>
      <c r="O32" s="51" t="s">
        <v>27</v>
      </c>
      <c r="P32" s="61"/>
      <c r="Q32" s="176">
        <f t="shared" si="18"/>
        <v>2.2200000000000002</v>
      </c>
      <c r="R32" s="86">
        <f t="shared" si="19"/>
        <v>45.960956603588336</v>
      </c>
      <c r="S32" s="86">
        <f t="shared" si="20"/>
        <v>275.76573962153003</v>
      </c>
      <c r="T32" s="51" t="s">
        <v>27</v>
      </c>
      <c r="U32" s="179" t="s">
        <v>27</v>
      </c>
    </row>
    <row r="36" spans="2:18">
      <c r="B36" s="480" t="s">
        <v>113</v>
      </c>
      <c r="C36" s="483"/>
      <c r="D36" s="483"/>
      <c r="E36" s="483"/>
      <c r="F36" s="483"/>
      <c r="G36" s="484"/>
      <c r="M36" s="480" t="s">
        <v>113</v>
      </c>
      <c r="N36" s="483"/>
      <c r="O36" s="483"/>
      <c r="P36" s="483"/>
      <c r="Q36" s="483"/>
      <c r="R36" s="484"/>
    </row>
    <row r="37" spans="2:18" ht="18">
      <c r="B37" s="107" t="s">
        <v>75</v>
      </c>
      <c r="C37" s="112" t="s">
        <v>84</v>
      </c>
      <c r="D37" s="118" t="s">
        <v>97</v>
      </c>
      <c r="E37" s="116" t="s">
        <v>112</v>
      </c>
      <c r="F37" s="98" t="s">
        <v>100</v>
      </c>
      <c r="G37" s="98" t="s">
        <v>101</v>
      </c>
      <c r="M37" s="184" t="s">
        <v>75</v>
      </c>
      <c r="N37" s="112" t="s">
        <v>84</v>
      </c>
      <c r="O37" s="183" t="s">
        <v>97</v>
      </c>
      <c r="P37" s="116" t="s">
        <v>112</v>
      </c>
      <c r="Q37" s="98" t="s">
        <v>100</v>
      </c>
      <c r="R37" s="98" t="s">
        <v>101</v>
      </c>
    </row>
    <row r="38" spans="2:18">
      <c r="B38" s="119" t="s">
        <v>143</v>
      </c>
      <c r="C38" s="7">
        <f t="shared" ref="C38:C43" si="21">C26</f>
        <v>478.57618646294549</v>
      </c>
      <c r="D38" s="7">
        <f t="shared" ref="D38:D43" si="22">E26</f>
        <v>34.20088598190047</v>
      </c>
      <c r="E38" s="79">
        <v>1.5</v>
      </c>
      <c r="F38" s="7">
        <f t="shared" ref="F38:F43" si="23">E38*H26</f>
        <v>65.665701085248912</v>
      </c>
      <c r="G38" s="7">
        <f t="shared" ref="G38:G43" si="24">J26</f>
        <v>21.888567028416304</v>
      </c>
      <c r="M38" s="119" t="s">
        <v>143</v>
      </c>
      <c r="N38" s="7">
        <f t="shared" ref="N38:N43" si="25">N26</f>
        <v>415.14285991077031</v>
      </c>
      <c r="O38" s="7">
        <f t="shared" ref="O38:O43" si="26">P26</f>
        <v>33.68620703039953</v>
      </c>
      <c r="P38" s="175">
        <v>1.5</v>
      </c>
      <c r="Q38" s="7">
        <f t="shared" ref="Q38:Q43" si="27">P38*S26</f>
        <v>64.677517498367095</v>
      </c>
      <c r="R38" s="7">
        <f t="shared" ref="R38:R43" si="28">U26</f>
        <v>21.559172499455698</v>
      </c>
    </row>
    <row r="39" spans="2:18">
      <c r="B39" s="120">
        <v>5</v>
      </c>
      <c r="C39" s="29">
        <f t="shared" si="21"/>
        <v>932.19450000481493</v>
      </c>
      <c r="D39" s="29">
        <f t="shared" si="22"/>
        <v>67.687524993333071</v>
      </c>
      <c r="E39" s="1">
        <v>1.5</v>
      </c>
      <c r="F39" s="29">
        <f t="shared" si="23"/>
        <v>162.45005998399935</v>
      </c>
      <c r="G39" s="29">
        <f t="shared" si="24"/>
        <v>76.038587023082755</v>
      </c>
      <c r="M39" s="120">
        <v>5</v>
      </c>
      <c r="N39" s="29">
        <f t="shared" si="25"/>
        <v>808.6359114214996</v>
      </c>
      <c r="O39" s="29">
        <f t="shared" si="26"/>
        <v>72.590181794045122</v>
      </c>
      <c r="P39" s="1">
        <v>1.5</v>
      </c>
      <c r="Q39" s="29">
        <f t="shared" si="27"/>
        <v>174.21643630570833</v>
      </c>
      <c r="R39" s="29">
        <f t="shared" si="28"/>
        <v>79.631317934691808</v>
      </c>
    </row>
    <row r="40" spans="2:18">
      <c r="B40" s="120">
        <v>4</v>
      </c>
      <c r="C40" s="29">
        <f t="shared" si="21"/>
        <v>1307.1967943908121</v>
      </c>
      <c r="D40" s="29">
        <f t="shared" si="22"/>
        <v>96.275880651257594</v>
      </c>
      <c r="E40" s="1">
        <v>1.5</v>
      </c>
      <c r="F40" s="29">
        <f t="shared" si="23"/>
        <v>231.06211356301822</v>
      </c>
      <c r="G40" s="29">
        <f t="shared" si="24"/>
        <v>131.17072451567253</v>
      </c>
      <c r="M40" s="120">
        <v>4</v>
      </c>
      <c r="N40" s="29">
        <f t="shared" si="25"/>
        <v>1133.933177286518</v>
      </c>
      <c r="O40" s="29">
        <f t="shared" si="26"/>
        <v>101.96391833871654</v>
      </c>
      <c r="P40" s="1">
        <v>1.5</v>
      </c>
      <c r="Q40" s="29">
        <f t="shared" si="27"/>
        <v>244.71340401291971</v>
      </c>
      <c r="R40" s="29">
        <f t="shared" si="28"/>
        <v>139.64328010620935</v>
      </c>
    </row>
    <row r="41" spans="2:18">
      <c r="B41" s="120">
        <v>3</v>
      </c>
      <c r="C41" s="29">
        <f t="shared" si="21"/>
        <v>1591.9729728343136</v>
      </c>
      <c r="D41" s="29">
        <f t="shared" si="22"/>
        <v>117.24982848053213</v>
      </c>
      <c r="E41" s="1">
        <v>1.5</v>
      </c>
      <c r="F41" s="29">
        <f t="shared" si="23"/>
        <v>281.39958835327707</v>
      </c>
      <c r="G41" s="29">
        <f t="shared" si="24"/>
        <v>170.82056730543178</v>
      </c>
      <c r="M41" s="120">
        <v>3</v>
      </c>
      <c r="N41" s="29">
        <f t="shared" si="25"/>
        <v>1380.9634318155922</v>
      </c>
      <c r="O41" s="29">
        <f t="shared" si="26"/>
        <v>124.17701978466748</v>
      </c>
      <c r="P41" s="1">
        <v>1.5</v>
      </c>
      <c r="Q41" s="29">
        <f t="shared" si="27"/>
        <v>298.02484748320194</v>
      </c>
      <c r="R41" s="29">
        <f t="shared" si="28"/>
        <v>180.91275049870723</v>
      </c>
    </row>
    <row r="42" spans="2:18">
      <c r="B42" s="120">
        <v>2</v>
      </c>
      <c r="C42" s="29">
        <f t="shared" si="21"/>
        <v>1786.5230353353197</v>
      </c>
      <c r="D42" s="29">
        <f t="shared" si="22"/>
        <v>131.57856511637314</v>
      </c>
      <c r="E42" s="1">
        <v>1.5</v>
      </c>
      <c r="F42" s="29">
        <f t="shared" si="23"/>
        <v>315.78855627929556</v>
      </c>
      <c r="G42" s="29">
        <f t="shared" si="24"/>
        <v>199.06271487752423</v>
      </c>
      <c r="M42" s="120">
        <v>2</v>
      </c>
      <c r="N42" s="29">
        <f t="shared" si="25"/>
        <v>1549.7266750087222</v>
      </c>
      <c r="O42" s="29">
        <f t="shared" si="26"/>
        <v>139.3523069111092</v>
      </c>
      <c r="P42" s="1">
        <v>1.5</v>
      </c>
      <c r="Q42" s="29">
        <f t="shared" si="27"/>
        <v>334.44553658666212</v>
      </c>
      <c r="R42" s="29">
        <f t="shared" si="28"/>
        <v>210.82346135662135</v>
      </c>
    </row>
    <row r="43" spans="2:18">
      <c r="B43" s="121">
        <v>1</v>
      </c>
      <c r="C43" s="55">
        <f t="shared" si="21"/>
        <v>1881.4486093891421</v>
      </c>
      <c r="D43" s="55">
        <f t="shared" si="22"/>
        <v>138.54647715966917</v>
      </c>
      <c r="E43" s="2">
        <v>1.5</v>
      </c>
      <c r="F43" s="55">
        <f t="shared" si="23"/>
        <v>307.5731792944656</v>
      </c>
      <c r="G43" s="55">
        <f t="shared" si="24"/>
        <v>207.78724519125373</v>
      </c>
      <c r="M43" s="121">
        <v>1</v>
      </c>
      <c r="N43" s="55">
        <f t="shared" si="25"/>
        <v>1632.0702504018673</v>
      </c>
      <c r="O43" s="55">
        <f t="shared" si="26"/>
        <v>124.21880163131983</v>
      </c>
      <c r="P43" s="2">
        <v>1.5</v>
      </c>
      <c r="Q43" s="55">
        <f t="shared" si="27"/>
        <v>275.76573962153009</v>
      </c>
      <c r="R43" s="55">
        <f t="shared" si="28"/>
        <v>203.40375873606405</v>
      </c>
    </row>
    <row r="44" spans="2:18">
      <c r="B44" s="120" t="s">
        <v>99</v>
      </c>
      <c r="C44" s="6" t="s">
        <v>27</v>
      </c>
      <c r="D44" s="51" t="s">
        <v>27</v>
      </c>
      <c r="E44" s="93">
        <v>1</v>
      </c>
      <c r="F44" s="86">
        <f>H32*E44</f>
        <v>307.5731792944656</v>
      </c>
      <c r="G44" s="87" t="s">
        <v>27</v>
      </c>
      <c r="M44" s="120" t="s">
        <v>99</v>
      </c>
      <c r="N44" s="178" t="s">
        <v>27</v>
      </c>
      <c r="O44" s="51" t="s">
        <v>27</v>
      </c>
      <c r="P44" s="176">
        <v>1</v>
      </c>
      <c r="Q44" s="86">
        <f>S32*P44</f>
        <v>275.76573962153003</v>
      </c>
      <c r="R44" s="87" t="s">
        <v>27</v>
      </c>
    </row>
    <row r="45" spans="2:18">
      <c r="B45" s="11"/>
      <c r="C45" s="152"/>
      <c r="D45" s="152"/>
      <c r="E45" s="11"/>
      <c r="F45" s="152"/>
      <c r="G45" s="152"/>
      <c r="H45" s="12"/>
      <c r="I45" s="12"/>
      <c r="J45" s="12"/>
    </row>
    <row r="46" spans="2:18">
      <c r="B46" s="11"/>
      <c r="C46" s="11"/>
      <c r="D46" s="11"/>
      <c r="E46" s="11"/>
      <c r="F46" s="152"/>
      <c r="G46" s="11"/>
      <c r="H46" s="12"/>
    </row>
    <row r="47" spans="2:18">
      <c r="B47" s="12"/>
      <c r="C47" s="12"/>
      <c r="D47" s="12"/>
      <c r="E47" s="12"/>
      <c r="F47" s="12"/>
      <c r="G47" s="12"/>
      <c r="H47" s="12"/>
    </row>
  </sheetData>
  <mergeCells count="6">
    <mergeCell ref="G2:H2"/>
    <mergeCell ref="G3:H3"/>
    <mergeCell ref="B24:J24"/>
    <mergeCell ref="B36:G36"/>
    <mergeCell ref="M24:U24"/>
    <mergeCell ref="M36:R36"/>
  </mergeCells>
  <pageMargins left="0.7" right="0.7" top="0.75" bottom="0.75" header="0.3" footer="0.3"/>
  <pageSetup paperSize="9" orientation="portrait" horizontalDpi="0" verticalDpi="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B1:Q55"/>
  <sheetViews>
    <sheetView workbookViewId="0">
      <selection activeCell="F20" sqref="F20"/>
    </sheetView>
  </sheetViews>
  <sheetFormatPr defaultRowHeight="15"/>
  <cols>
    <col min="2" max="2" width="23.5703125" customWidth="1"/>
    <col min="3" max="3" width="15.7109375" customWidth="1"/>
    <col min="4" max="4" width="29.140625" customWidth="1"/>
    <col min="5" max="5" width="25.7109375" customWidth="1"/>
    <col min="6" max="6" width="15.28515625" customWidth="1"/>
    <col min="7" max="7" width="12.28515625" customWidth="1"/>
    <col min="8" max="8" width="13.5703125" customWidth="1"/>
    <col min="9" max="9" width="18.140625" customWidth="1"/>
    <col min="10" max="10" width="14.85546875" customWidth="1"/>
    <col min="14" max="14" width="13.140625" customWidth="1"/>
  </cols>
  <sheetData>
    <row r="1" spans="2:17" ht="19.5" thickBot="1">
      <c r="B1" s="194" t="s">
        <v>232</v>
      </c>
    </row>
    <row r="2" spans="2:17" ht="18.75">
      <c r="B2" s="193" t="s">
        <v>118</v>
      </c>
      <c r="C2" s="485" t="s">
        <v>415</v>
      </c>
      <c r="D2" s="481"/>
      <c r="E2" s="482"/>
      <c r="I2" s="485" t="s">
        <v>117</v>
      </c>
      <c r="J2" s="481"/>
      <c r="K2" s="481"/>
      <c r="L2" s="481"/>
      <c r="M2" s="481"/>
      <c r="N2" s="481"/>
      <c r="O2" s="19"/>
    </row>
    <row r="3" spans="2:17" ht="18">
      <c r="B3" s="98" t="s">
        <v>75</v>
      </c>
      <c r="C3" s="116" t="s">
        <v>101</v>
      </c>
      <c r="D3" s="116" t="s">
        <v>115</v>
      </c>
      <c r="E3" s="101" t="s">
        <v>116</v>
      </c>
      <c r="I3" s="98" t="s">
        <v>75</v>
      </c>
      <c r="J3" s="101" t="s">
        <v>116</v>
      </c>
      <c r="K3" s="98" t="s">
        <v>86</v>
      </c>
      <c r="L3" s="101" t="s">
        <v>74</v>
      </c>
      <c r="M3" s="98" t="s">
        <v>66</v>
      </c>
      <c r="N3" s="98" t="s">
        <v>87</v>
      </c>
      <c r="O3" s="112" t="s">
        <v>11</v>
      </c>
    </row>
    <row r="4" spans="2:17">
      <c r="B4" s="99" t="s">
        <v>143</v>
      </c>
      <c r="C4" s="7">
        <f>'C. Sollecitazione'!J26</f>
        <v>21.888567028416304</v>
      </c>
      <c r="D4" s="7">
        <f>'Carichi Unitari'!Q61</f>
        <v>69.588891999999987</v>
      </c>
      <c r="E4" s="7">
        <f t="shared" ref="E4:E9" si="0">C4+D4</f>
        <v>91.477459028416291</v>
      </c>
      <c r="I4" s="99" t="s">
        <v>143</v>
      </c>
      <c r="J4" s="123">
        <f t="shared" ref="J4:J9" si="1">E4</f>
        <v>91.477459028416291</v>
      </c>
      <c r="K4" s="132">
        <v>0.3</v>
      </c>
      <c r="L4" s="131">
        <v>0.04</v>
      </c>
      <c r="M4" s="133">
        <v>1.7999999999999999E-2</v>
      </c>
      <c r="N4" s="123">
        <f t="shared" ref="N4:N9" si="2">M4*SQRT(J4/K4)</f>
        <v>0.31431776238496223</v>
      </c>
      <c r="O4" s="123">
        <f t="shared" ref="O4:O9" si="3">N4+L4</f>
        <v>0.35431776238496221</v>
      </c>
      <c r="Q4" s="139" t="s">
        <v>186</v>
      </c>
    </row>
    <row r="5" spans="2:17">
      <c r="B5" s="99">
        <v>5</v>
      </c>
      <c r="C5" s="29">
        <f>'C. Sollecitazione'!J27</f>
        <v>76.038587023082755</v>
      </c>
      <c r="D5" s="29">
        <f>D4</f>
        <v>69.588891999999987</v>
      </c>
      <c r="E5" s="29">
        <f t="shared" si="0"/>
        <v>145.62747902308274</v>
      </c>
      <c r="I5" s="99">
        <v>5</v>
      </c>
      <c r="J5" s="124">
        <f t="shared" si="1"/>
        <v>145.62747902308274</v>
      </c>
      <c r="K5" s="3">
        <v>0.3</v>
      </c>
      <c r="L5" s="1">
        <v>0.04</v>
      </c>
      <c r="M5" s="4">
        <v>1.7999999999999999E-2</v>
      </c>
      <c r="N5" s="124">
        <f t="shared" si="2"/>
        <v>0.39658249752722236</v>
      </c>
      <c r="O5" s="124">
        <f t="shared" si="3"/>
        <v>0.43658249752722234</v>
      </c>
    </row>
    <row r="6" spans="2:17">
      <c r="B6" s="99">
        <v>4</v>
      </c>
      <c r="C6" s="29">
        <f>'C. Sollecitazione'!J28</f>
        <v>131.17072451567253</v>
      </c>
      <c r="D6" s="29">
        <f>D4</f>
        <v>69.588891999999987</v>
      </c>
      <c r="E6" s="29">
        <f t="shared" si="0"/>
        <v>200.75961651567252</v>
      </c>
      <c r="I6" s="99">
        <v>4</v>
      </c>
      <c r="J6" s="54">
        <f t="shared" si="1"/>
        <v>200.75961651567252</v>
      </c>
      <c r="K6" s="3">
        <v>0.3</v>
      </c>
      <c r="L6" s="1">
        <v>0.04</v>
      </c>
      <c r="M6" s="4">
        <v>1.7999999999999999E-2</v>
      </c>
      <c r="N6" s="54">
        <f t="shared" si="2"/>
        <v>0.46563975972518318</v>
      </c>
      <c r="O6" s="54">
        <f t="shared" si="3"/>
        <v>0.50563975972518316</v>
      </c>
    </row>
    <row r="7" spans="2:17">
      <c r="B7" s="99">
        <v>3</v>
      </c>
      <c r="C7" s="29">
        <f>'C. Sollecitazione'!J29</f>
        <v>170.82056730543178</v>
      </c>
      <c r="D7" s="29">
        <f>D4</f>
        <v>69.588891999999987</v>
      </c>
      <c r="E7" s="29">
        <f t="shared" si="0"/>
        <v>240.40945930543177</v>
      </c>
      <c r="I7" s="99">
        <v>3</v>
      </c>
      <c r="J7" s="54">
        <f t="shared" si="1"/>
        <v>240.40945930543177</v>
      </c>
      <c r="K7" s="3">
        <v>0.3</v>
      </c>
      <c r="L7" s="1">
        <v>0.04</v>
      </c>
      <c r="M7" s="4">
        <v>1.7999999999999999E-2</v>
      </c>
      <c r="N7" s="54">
        <f t="shared" si="2"/>
        <v>0.50955099455291641</v>
      </c>
      <c r="O7" s="54">
        <f t="shared" si="3"/>
        <v>0.54955099455291645</v>
      </c>
      <c r="Q7" s="140" t="s">
        <v>85</v>
      </c>
    </row>
    <row r="8" spans="2:17">
      <c r="B8" s="99">
        <v>2</v>
      </c>
      <c r="C8" s="29">
        <f>'C. Sollecitazione'!J30</f>
        <v>199.06271487752423</v>
      </c>
      <c r="D8" s="29">
        <f>D4</f>
        <v>69.588891999999987</v>
      </c>
      <c r="E8" s="29">
        <f t="shared" si="0"/>
        <v>268.65160687752422</v>
      </c>
      <c r="I8" s="99">
        <v>2</v>
      </c>
      <c r="J8" s="54">
        <f t="shared" si="1"/>
        <v>268.65160687752422</v>
      </c>
      <c r="K8" s="3">
        <v>0.3</v>
      </c>
      <c r="L8" s="1">
        <v>0.04</v>
      </c>
      <c r="M8" s="4">
        <v>1.7999999999999999E-2</v>
      </c>
      <c r="N8" s="54">
        <f t="shared" si="2"/>
        <v>0.53864991917545679</v>
      </c>
      <c r="O8" s="54">
        <f t="shared" si="3"/>
        <v>0.57864991917545683</v>
      </c>
    </row>
    <row r="9" spans="2:17">
      <c r="B9" s="102">
        <v>1</v>
      </c>
      <c r="C9" s="29">
        <f>'C. Sollecitazione'!J31</f>
        <v>207.78724519125373</v>
      </c>
      <c r="D9" s="29">
        <f>D4</f>
        <v>69.588891999999987</v>
      </c>
      <c r="E9" s="29">
        <f t="shared" si="0"/>
        <v>277.37613719125375</v>
      </c>
      <c r="I9" s="102">
        <v>1</v>
      </c>
      <c r="J9" s="57">
        <f t="shared" si="1"/>
        <v>277.37613719125375</v>
      </c>
      <c r="K9" s="137">
        <v>0.3</v>
      </c>
      <c r="L9" s="2">
        <v>0.04</v>
      </c>
      <c r="M9" s="138">
        <v>1.7999999999999999E-2</v>
      </c>
      <c r="N9" s="57">
        <f t="shared" si="2"/>
        <v>0.5473264365683006</v>
      </c>
      <c r="O9" s="57">
        <f t="shared" si="3"/>
        <v>0.58732643656830064</v>
      </c>
    </row>
    <row r="10" spans="2:17">
      <c r="B10" s="99" t="s">
        <v>99</v>
      </c>
      <c r="C10" s="2" t="s">
        <v>27</v>
      </c>
      <c r="D10" s="2" t="s">
        <v>27</v>
      </c>
      <c r="E10" s="2" t="s">
        <v>27</v>
      </c>
      <c r="I10" s="88"/>
    </row>
    <row r="13" spans="2:17" ht="18.75">
      <c r="B13" s="122" t="s">
        <v>118</v>
      </c>
      <c r="C13" s="485" t="s">
        <v>175</v>
      </c>
      <c r="D13" s="481"/>
      <c r="E13" s="481"/>
      <c r="F13" s="9"/>
      <c r="G13" s="9"/>
      <c r="H13" s="19"/>
    </row>
    <row r="14" spans="2:17" ht="18">
      <c r="B14" s="101" t="s">
        <v>75</v>
      </c>
      <c r="C14" s="107" t="s">
        <v>100</v>
      </c>
      <c r="D14" s="486" t="s">
        <v>138</v>
      </c>
      <c r="E14" s="487"/>
      <c r="F14" s="125" t="s">
        <v>107</v>
      </c>
      <c r="G14" s="488" t="s">
        <v>145</v>
      </c>
      <c r="H14" s="488"/>
    </row>
    <row r="15" spans="2:17">
      <c r="B15" s="100"/>
      <c r="C15" s="89"/>
      <c r="D15" s="89" t="s">
        <v>140</v>
      </c>
      <c r="E15" s="89" t="s">
        <v>141</v>
      </c>
      <c r="F15" s="5"/>
      <c r="G15" s="90" t="s">
        <v>140</v>
      </c>
      <c r="H15" s="89" t="s">
        <v>141</v>
      </c>
    </row>
    <row r="16" spans="2:17">
      <c r="B16" s="103" t="s">
        <v>143</v>
      </c>
      <c r="C16" s="7">
        <f>'C. Sollecitazione'!F38</f>
        <v>65.665701085248912</v>
      </c>
      <c r="D16" s="7">
        <f>'Carichi Unitari'!L107</f>
        <v>88.306249999999991</v>
      </c>
      <c r="E16" s="7">
        <f>'Carichi Unitari'!L95</f>
        <v>121.96325</v>
      </c>
      <c r="F16" s="29">
        <f>'C. Sollecitazione'!J13</f>
        <v>7.9306402276870669</v>
      </c>
      <c r="G16" s="7">
        <f t="shared" ref="G16:G21" si="4">D16-F16</f>
        <v>80.375609772312927</v>
      </c>
      <c r="H16" s="7">
        <f t="shared" ref="H16:H21" si="5">E16+F16</f>
        <v>129.89389022768708</v>
      </c>
    </row>
    <row r="17" spans="2:17">
      <c r="B17" s="103">
        <v>5</v>
      </c>
      <c r="C17" s="29">
        <f>'C. Sollecitazione'!F39</f>
        <v>162.45005998399935</v>
      </c>
      <c r="D17" s="29">
        <f>2*D16</f>
        <v>176.61249999999998</v>
      </c>
      <c r="E17" s="29">
        <f>E16*2</f>
        <v>243.9265</v>
      </c>
      <c r="F17" s="29">
        <f>'C. Sollecitazione'!J14</f>
        <v>35.480852917209809</v>
      </c>
      <c r="G17" s="29">
        <f t="shared" si="4"/>
        <v>141.13164708279018</v>
      </c>
      <c r="H17" s="29">
        <f t="shared" si="5"/>
        <v>279.40735291720983</v>
      </c>
    </row>
    <row r="18" spans="2:17">
      <c r="B18" s="99">
        <v>4</v>
      </c>
      <c r="C18" s="29">
        <f>'C. Sollecitazione'!F40</f>
        <v>231.06211356301822</v>
      </c>
      <c r="D18" s="29">
        <f>3*D16</f>
        <v>264.91874999999999</v>
      </c>
      <c r="E18" s="29">
        <f>E16*3</f>
        <v>365.88974999999999</v>
      </c>
      <c r="F18" s="29">
        <f>'C. Sollecitazione'!J15</f>
        <v>83.006477741728844</v>
      </c>
      <c r="G18" s="29">
        <f t="shared" si="4"/>
        <v>181.91227225827114</v>
      </c>
      <c r="H18" s="29">
        <f t="shared" si="5"/>
        <v>448.89622774172881</v>
      </c>
    </row>
    <row r="19" spans="2:17" ht="15.75" thickBot="1">
      <c r="B19" s="99">
        <v>3</v>
      </c>
      <c r="C19" s="29">
        <f>'C. Sollecitazione'!F41</f>
        <v>281.39958835327707</v>
      </c>
      <c r="D19" s="29">
        <f>4*D16</f>
        <v>353.22499999999997</v>
      </c>
      <c r="E19" s="29">
        <f>E16*4</f>
        <v>487.85300000000001</v>
      </c>
      <c r="F19" s="29">
        <f>'C. Sollecitazione'!J16</f>
        <v>144.89798763500124</v>
      </c>
      <c r="G19" s="29">
        <f t="shared" si="4"/>
        <v>208.32701236499872</v>
      </c>
      <c r="H19" s="29">
        <f t="shared" si="5"/>
        <v>632.75098763500125</v>
      </c>
    </row>
    <row r="20" spans="2:17" ht="15.75" thickBot="1">
      <c r="B20" s="120">
        <v>2</v>
      </c>
      <c r="C20" s="91">
        <f>'C. Sollecitazione'!F42</f>
        <v>315.78855627929556</v>
      </c>
      <c r="D20" s="78">
        <f>5*D16</f>
        <v>441.53124999999994</v>
      </c>
      <c r="E20" s="29">
        <f>E16*5</f>
        <v>609.81624999999997</v>
      </c>
      <c r="F20" s="23">
        <f>'C. Sollecitazione'!J17</f>
        <v>217.02215969207526</v>
      </c>
      <c r="G20" s="91">
        <f t="shared" si="4"/>
        <v>224.50909030792468</v>
      </c>
      <c r="H20" s="78">
        <f t="shared" si="5"/>
        <v>826.83840969207517</v>
      </c>
    </row>
    <row r="21" spans="2:17" ht="15.75" thickBot="1">
      <c r="B21" s="120" t="s">
        <v>144</v>
      </c>
      <c r="C21" s="385">
        <f>'C. Sollecitazione'!F43</f>
        <v>307.5731792944656</v>
      </c>
      <c r="D21" s="77">
        <f>6*D16</f>
        <v>529.83749999999998</v>
      </c>
      <c r="E21" s="55">
        <f>E16*6</f>
        <v>731.77949999999998</v>
      </c>
      <c r="F21" s="78">
        <f>'C. Sollecitazione'!J18</f>
        <v>292.30739345702227</v>
      </c>
      <c r="G21" s="23">
        <f t="shared" si="4"/>
        <v>237.53010654297771</v>
      </c>
      <c r="H21" s="130">
        <f t="shared" si="5"/>
        <v>1024.0868934570221</v>
      </c>
    </row>
    <row r="22" spans="2:17">
      <c r="B22" s="120" t="s">
        <v>99</v>
      </c>
      <c r="C22" s="386">
        <f>'C. Sollecitazione'!F44</f>
        <v>307.5731792944656</v>
      </c>
      <c r="D22" s="384" t="s">
        <v>27</v>
      </c>
      <c r="E22" s="2" t="s">
        <v>27</v>
      </c>
      <c r="F22" s="80" t="s">
        <v>27</v>
      </c>
      <c r="G22" s="15" t="s">
        <v>27</v>
      </c>
      <c r="H22" s="21" t="s">
        <v>27</v>
      </c>
    </row>
    <row r="24" spans="2:17" ht="15.75" thickBot="1"/>
    <row r="25" spans="2:17" ht="15.75" thickBot="1">
      <c r="B25" s="129" t="s">
        <v>146</v>
      </c>
      <c r="C25" s="128" t="s">
        <v>69</v>
      </c>
      <c r="D25" s="127" t="s">
        <v>147</v>
      </c>
    </row>
    <row r="26" spans="2:17" ht="18">
      <c r="B26" s="99" t="s">
        <v>148</v>
      </c>
      <c r="C26" s="55">
        <f>C20</f>
        <v>315.78855627929556</v>
      </c>
      <c r="D26" s="55">
        <f>G20</f>
        <v>224.50909030792468</v>
      </c>
    </row>
    <row r="27" spans="2:17" ht="18">
      <c r="B27" s="99" t="s">
        <v>149</v>
      </c>
      <c r="C27" s="86">
        <f>C22</f>
        <v>307.5731792944656</v>
      </c>
      <c r="D27" s="92">
        <f>H21</f>
        <v>1024.0868934570221</v>
      </c>
    </row>
    <row r="28" spans="2:17" ht="15.75" thickBot="1"/>
    <row r="29" spans="2:17" ht="19.5" thickBot="1">
      <c r="B29" s="194" t="s">
        <v>233</v>
      </c>
      <c r="C29" s="11"/>
    </row>
    <row r="30" spans="2:17" ht="18.75">
      <c r="B30" s="193" t="s">
        <v>118</v>
      </c>
      <c r="C30" s="485" t="s">
        <v>416</v>
      </c>
      <c r="D30" s="481"/>
      <c r="E30" s="482"/>
      <c r="I30" s="485" t="s">
        <v>117</v>
      </c>
      <c r="J30" s="481"/>
      <c r="K30" s="481"/>
      <c r="L30" s="481"/>
      <c r="M30" s="481"/>
      <c r="N30" s="481"/>
      <c r="O30" s="19"/>
    </row>
    <row r="31" spans="2:17" ht="18">
      <c r="B31" s="98" t="s">
        <v>75</v>
      </c>
      <c r="C31" s="190" t="s">
        <v>101</v>
      </c>
      <c r="D31" s="190" t="s">
        <v>115</v>
      </c>
      <c r="E31" s="101" t="s">
        <v>116</v>
      </c>
      <c r="I31" s="98" t="s">
        <v>75</v>
      </c>
      <c r="J31" s="101" t="s">
        <v>116</v>
      </c>
      <c r="K31" s="98" t="s">
        <v>86</v>
      </c>
      <c r="L31" s="101" t="s">
        <v>74</v>
      </c>
      <c r="M31" s="98" t="s">
        <v>66</v>
      </c>
      <c r="N31" s="98" t="s">
        <v>87</v>
      </c>
      <c r="O31" s="112" t="s">
        <v>11</v>
      </c>
    </row>
    <row r="32" spans="2:17">
      <c r="B32" s="120" t="s">
        <v>143</v>
      </c>
      <c r="C32" s="7">
        <f>'C. Sollecitazione'!U26</f>
        <v>21.559172499455698</v>
      </c>
      <c r="D32" s="7">
        <f>'Carichi Unitari'!$Q$61</f>
        <v>69.588891999999987</v>
      </c>
      <c r="E32" s="26">
        <f t="shared" ref="E32:E37" si="6">C32+D32</f>
        <v>91.148064499455685</v>
      </c>
      <c r="I32" s="99" t="s">
        <v>143</v>
      </c>
      <c r="J32" s="123">
        <f t="shared" ref="J32:J37" si="7">E32</f>
        <v>91.148064499455685</v>
      </c>
      <c r="K32" s="180">
        <v>0.3</v>
      </c>
      <c r="L32" s="175">
        <v>0.04</v>
      </c>
      <c r="M32" s="181">
        <v>1.7999999999999999E-2</v>
      </c>
      <c r="N32" s="123">
        <f t="shared" ref="N32:N37" si="8">M32*SQRT(J32/K32)</f>
        <v>0.31375135005193544</v>
      </c>
      <c r="O32" s="123">
        <f t="shared" ref="O32:O37" si="9">N32+L32</f>
        <v>0.35375135005193542</v>
      </c>
      <c r="Q32" s="139" t="s">
        <v>186</v>
      </c>
    </row>
    <row r="33" spans="2:17">
      <c r="B33" s="120">
        <v>5</v>
      </c>
      <c r="C33" s="29">
        <f>'C. Sollecitazione'!U27</f>
        <v>79.631317934691808</v>
      </c>
      <c r="D33" s="29">
        <f>'Carichi Unitari'!$Q$61</f>
        <v>69.588891999999987</v>
      </c>
      <c r="E33" s="78">
        <f t="shared" si="6"/>
        <v>149.22020993469181</v>
      </c>
      <c r="I33" s="99">
        <v>5</v>
      </c>
      <c r="J33" s="124">
        <f t="shared" si="7"/>
        <v>149.22020993469181</v>
      </c>
      <c r="K33" s="3">
        <v>0.3</v>
      </c>
      <c r="L33" s="1">
        <v>0.04</v>
      </c>
      <c r="M33" s="4">
        <v>1.7999999999999999E-2</v>
      </c>
      <c r="N33" s="124">
        <f t="shared" si="8"/>
        <v>0.40144467455611754</v>
      </c>
      <c r="O33" s="124">
        <f t="shared" si="9"/>
        <v>0.44144467455611752</v>
      </c>
    </row>
    <row r="34" spans="2:17">
      <c r="B34" s="120">
        <v>4</v>
      </c>
      <c r="C34" s="29">
        <f>'C. Sollecitazione'!U28</f>
        <v>139.64328010620935</v>
      </c>
      <c r="D34" s="29">
        <f>'Carichi Unitari'!$Q$61</f>
        <v>69.588891999999987</v>
      </c>
      <c r="E34" s="78">
        <f t="shared" si="6"/>
        <v>209.23217210620933</v>
      </c>
      <c r="I34" s="99">
        <v>4</v>
      </c>
      <c r="J34" s="54">
        <f t="shared" si="7"/>
        <v>209.23217210620933</v>
      </c>
      <c r="K34" s="3">
        <v>0.3</v>
      </c>
      <c r="L34" s="1">
        <v>0.04</v>
      </c>
      <c r="M34" s="4">
        <v>1.7999999999999999E-2</v>
      </c>
      <c r="N34" s="54">
        <f t="shared" si="8"/>
        <v>0.47536380370691461</v>
      </c>
      <c r="O34" s="54">
        <f t="shared" si="9"/>
        <v>0.51536380370691459</v>
      </c>
    </row>
    <row r="35" spans="2:17">
      <c r="B35" s="120">
        <v>3</v>
      </c>
      <c r="C35" s="29">
        <f>'C. Sollecitazione'!U29</f>
        <v>180.91275049870723</v>
      </c>
      <c r="D35" s="29">
        <f>'Carichi Unitari'!$Q$61</f>
        <v>69.588891999999987</v>
      </c>
      <c r="E35" s="78">
        <f t="shared" si="6"/>
        <v>250.50164249870721</v>
      </c>
      <c r="I35" s="99">
        <v>3</v>
      </c>
      <c r="J35" s="54">
        <f t="shared" si="7"/>
        <v>250.50164249870721</v>
      </c>
      <c r="K35" s="3">
        <v>0.3</v>
      </c>
      <c r="L35" s="1">
        <v>0.04</v>
      </c>
      <c r="M35" s="4">
        <v>1.7999999999999999E-2</v>
      </c>
      <c r="N35" s="54">
        <f t="shared" si="8"/>
        <v>0.52013630319234949</v>
      </c>
      <c r="O35" s="54">
        <f t="shared" si="9"/>
        <v>0.56013630319234953</v>
      </c>
      <c r="Q35" s="140" t="s">
        <v>85</v>
      </c>
    </row>
    <row r="36" spans="2:17">
      <c r="B36" s="120">
        <v>2</v>
      </c>
      <c r="C36" s="29">
        <f>'C. Sollecitazione'!U30</f>
        <v>210.82346135662135</v>
      </c>
      <c r="D36" s="29">
        <f>'Carichi Unitari'!$Q$61</f>
        <v>69.588891999999987</v>
      </c>
      <c r="E36" s="78">
        <f t="shared" si="6"/>
        <v>280.41235335662134</v>
      </c>
      <c r="I36" s="99">
        <v>2</v>
      </c>
      <c r="J36" s="54">
        <f t="shared" si="7"/>
        <v>280.41235335662134</v>
      </c>
      <c r="K36" s="3">
        <v>0.3</v>
      </c>
      <c r="L36" s="1">
        <v>0.04</v>
      </c>
      <c r="M36" s="4">
        <v>1.7999999999999999E-2</v>
      </c>
      <c r="N36" s="54">
        <f t="shared" si="8"/>
        <v>0.55031385738063243</v>
      </c>
      <c r="O36" s="54">
        <f t="shared" si="9"/>
        <v>0.59031385738063247</v>
      </c>
    </row>
    <row r="37" spans="2:17">
      <c r="B37" s="121">
        <v>1</v>
      </c>
      <c r="C37" s="29">
        <f>'C. Sollecitazione'!U31</f>
        <v>203.40375873606405</v>
      </c>
      <c r="D37" s="29">
        <f>'Carichi Unitari'!$Q$61</f>
        <v>69.588891999999987</v>
      </c>
      <c r="E37" s="78">
        <f t="shared" si="6"/>
        <v>272.99265073606404</v>
      </c>
      <c r="I37" s="102">
        <v>1</v>
      </c>
      <c r="J37" s="57">
        <f t="shared" si="7"/>
        <v>272.99265073606404</v>
      </c>
      <c r="K37" s="137">
        <v>0.3</v>
      </c>
      <c r="L37" s="2">
        <v>0.04</v>
      </c>
      <c r="M37" s="138">
        <v>1.7999999999999999E-2</v>
      </c>
      <c r="N37" s="57">
        <f t="shared" si="8"/>
        <v>0.54298440382293589</v>
      </c>
      <c r="O37" s="57">
        <f t="shared" si="9"/>
        <v>0.58298440382293593</v>
      </c>
    </row>
    <row r="38" spans="2:17">
      <c r="B38" s="120" t="s">
        <v>99</v>
      </c>
      <c r="C38" s="2" t="s">
        <v>27</v>
      </c>
      <c r="D38" s="2" t="s">
        <v>27</v>
      </c>
      <c r="E38" s="138" t="s">
        <v>27</v>
      </c>
      <c r="I38" s="88"/>
    </row>
    <row r="41" spans="2:17" ht="18.75">
      <c r="B41" s="182" t="s">
        <v>118</v>
      </c>
      <c r="C41" s="485" t="s">
        <v>175</v>
      </c>
      <c r="D41" s="481"/>
      <c r="E41" s="481"/>
      <c r="F41" s="9"/>
      <c r="G41" s="9"/>
      <c r="H41" s="19"/>
    </row>
    <row r="42" spans="2:17" ht="18">
      <c r="B42" s="101" t="s">
        <v>75</v>
      </c>
      <c r="C42" s="184" t="s">
        <v>100</v>
      </c>
      <c r="D42" s="486" t="s">
        <v>138</v>
      </c>
      <c r="E42" s="487"/>
      <c r="F42" s="125" t="s">
        <v>107</v>
      </c>
      <c r="G42" s="488" t="s">
        <v>145</v>
      </c>
      <c r="H42" s="488"/>
    </row>
    <row r="43" spans="2:17">
      <c r="B43" s="100"/>
      <c r="C43" s="191"/>
      <c r="D43" s="89" t="s">
        <v>140</v>
      </c>
      <c r="E43" s="89" t="s">
        <v>141</v>
      </c>
      <c r="F43" s="5"/>
      <c r="G43" s="90" t="s">
        <v>140</v>
      </c>
      <c r="H43" s="89" t="s">
        <v>141</v>
      </c>
    </row>
    <row r="44" spans="2:17">
      <c r="B44" s="119" t="s">
        <v>143</v>
      </c>
      <c r="C44" s="7">
        <f>'C. Sollecitazione'!Q38</f>
        <v>64.677517498367095</v>
      </c>
      <c r="D44" s="26">
        <f>'Carichi Unitari'!L107</f>
        <v>88.306249999999991</v>
      </c>
      <c r="E44" s="7">
        <f>'Carichi Unitari'!L95</f>
        <v>121.96325</v>
      </c>
      <c r="F44" s="29">
        <f>'C. Sollecitazione'!U13</f>
        <v>7.8112943838607611</v>
      </c>
      <c r="G44" s="7">
        <f t="shared" ref="G44:G49" si="10">D44-F44</f>
        <v>80.494955616139237</v>
      </c>
      <c r="H44" s="7">
        <f t="shared" ref="H44:H49" si="11">E44+F44</f>
        <v>129.77454438386076</v>
      </c>
    </row>
    <row r="45" spans="2:17">
      <c r="B45" s="119">
        <v>5</v>
      </c>
      <c r="C45" s="29">
        <f>'C. Sollecitazione'!Q39</f>
        <v>174.21643630570833</v>
      </c>
      <c r="D45" s="78">
        <f>2*D44</f>
        <v>176.61249999999998</v>
      </c>
      <c r="E45" s="29">
        <f>E44*2</f>
        <v>243.9265</v>
      </c>
      <c r="F45" s="29">
        <f>'C. Sollecitazione'!U14</f>
        <v>36.663221171792578</v>
      </c>
      <c r="G45" s="29">
        <f t="shared" si="10"/>
        <v>139.94927882820741</v>
      </c>
      <c r="H45" s="29">
        <f t="shared" si="11"/>
        <v>280.58972117179258</v>
      </c>
    </row>
    <row r="46" spans="2:17">
      <c r="B46" s="120">
        <v>4</v>
      </c>
      <c r="C46" s="29">
        <f>'C. Sollecitazione'!Q40</f>
        <v>244.71340401291971</v>
      </c>
      <c r="D46" s="78">
        <f>3*D44</f>
        <v>264.91874999999999</v>
      </c>
      <c r="E46" s="29">
        <f>E44*3</f>
        <v>365.88974999999999</v>
      </c>
      <c r="F46" s="29">
        <f>'C. Sollecitazione'!U15</f>
        <v>87.258612514622058</v>
      </c>
      <c r="G46" s="29">
        <f t="shared" si="10"/>
        <v>177.66013748537793</v>
      </c>
      <c r="H46" s="29">
        <f t="shared" si="11"/>
        <v>453.14836251462202</v>
      </c>
    </row>
    <row r="47" spans="2:17" ht="15.75" thickBot="1">
      <c r="B47" s="120">
        <v>3</v>
      </c>
      <c r="C47" s="29">
        <f>'C. Sollecitazione'!Q41</f>
        <v>298.02484748320194</v>
      </c>
      <c r="D47" s="78">
        <f>4*D44</f>
        <v>353.22499999999997</v>
      </c>
      <c r="E47" s="29">
        <f>E44*4</f>
        <v>487.85300000000001</v>
      </c>
      <c r="F47" s="29">
        <f>'C. Sollecitazione'!U16</f>
        <v>152.80671052140002</v>
      </c>
      <c r="G47" s="29">
        <f t="shared" si="10"/>
        <v>200.41828947859995</v>
      </c>
      <c r="H47" s="29">
        <f t="shared" si="11"/>
        <v>640.65971052140003</v>
      </c>
    </row>
    <row r="48" spans="2:17" ht="15.75" thickBot="1">
      <c r="B48" s="120">
        <v>2</v>
      </c>
      <c r="C48" s="192">
        <f>'C. Sollecitazione'!Q42</f>
        <v>334.44553658666212</v>
      </c>
      <c r="D48" s="78">
        <f>5*D44</f>
        <v>441.53124999999994</v>
      </c>
      <c r="E48" s="29">
        <f>E44*5</f>
        <v>609.81624999999997</v>
      </c>
      <c r="F48" s="29">
        <f>'C. Sollecitazione'!U17</f>
        <v>229.1920226071324</v>
      </c>
      <c r="G48" s="91">
        <f t="shared" si="10"/>
        <v>212.33922739286754</v>
      </c>
      <c r="H48" s="78">
        <f t="shared" si="11"/>
        <v>839.00827260713231</v>
      </c>
    </row>
    <row r="49" spans="2:8" ht="15.75" thickBot="1">
      <c r="B49" s="120" t="s">
        <v>144</v>
      </c>
      <c r="C49" s="126">
        <f>'C. Sollecitazione'!Q43</f>
        <v>275.76573962153009</v>
      </c>
      <c r="D49" s="77">
        <f>6*D44</f>
        <v>529.83749999999998</v>
      </c>
      <c r="E49" s="55">
        <f>E44*6</f>
        <v>731.77949999999998</v>
      </c>
      <c r="F49" s="29">
        <f>'C. Sollecitazione'!U18</f>
        <v>302.88903664193822</v>
      </c>
      <c r="G49" s="23">
        <f t="shared" si="10"/>
        <v>226.94846335806176</v>
      </c>
      <c r="H49" s="130">
        <f t="shared" si="11"/>
        <v>1034.6685366419383</v>
      </c>
    </row>
    <row r="50" spans="2:8" ht="15.75" thickBot="1">
      <c r="B50" s="120" t="s">
        <v>99</v>
      </c>
      <c r="C50" s="126">
        <f>'C. Sollecitazione'!Q44</f>
        <v>275.76573962153003</v>
      </c>
      <c r="D50" s="176" t="s">
        <v>27</v>
      </c>
      <c r="E50" s="2" t="s">
        <v>27</v>
      </c>
      <c r="F50" s="176" t="s">
        <v>27</v>
      </c>
      <c r="G50" s="15" t="s">
        <v>27</v>
      </c>
      <c r="H50" s="21" t="s">
        <v>27</v>
      </c>
    </row>
    <row r="52" spans="2:8" ht="15.75" thickBot="1"/>
    <row r="53" spans="2:8" ht="15.75" thickBot="1">
      <c r="B53" s="129" t="s">
        <v>146</v>
      </c>
      <c r="C53" s="177" t="s">
        <v>69</v>
      </c>
      <c r="D53" s="127" t="s">
        <v>147</v>
      </c>
    </row>
    <row r="54" spans="2:8" ht="18">
      <c r="B54" s="99" t="s">
        <v>148</v>
      </c>
      <c r="C54" s="55">
        <f>C48</f>
        <v>334.44553658666212</v>
      </c>
      <c r="D54" s="55">
        <f>G48</f>
        <v>212.33922739286754</v>
      </c>
    </row>
    <row r="55" spans="2:8" ht="18">
      <c r="B55" s="99" t="s">
        <v>149</v>
      </c>
      <c r="C55" s="86">
        <f>C50</f>
        <v>275.76573962153003</v>
      </c>
      <c r="D55" s="92">
        <f>H49</f>
        <v>1034.6685366419383</v>
      </c>
    </row>
  </sheetData>
  <mergeCells count="10">
    <mergeCell ref="C2:E2"/>
    <mergeCell ref="I2:N2"/>
    <mergeCell ref="C13:E13"/>
    <mergeCell ref="D14:E14"/>
    <mergeCell ref="G14:H14"/>
    <mergeCell ref="C30:E30"/>
    <mergeCell ref="I30:N30"/>
    <mergeCell ref="C41:E41"/>
    <mergeCell ref="D42:E42"/>
    <mergeCell ref="G42:H4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V109"/>
  <sheetViews>
    <sheetView topLeftCell="A73" zoomScale="90" zoomScaleNormal="90" workbookViewId="0">
      <selection activeCell="I99" sqref="I99"/>
    </sheetView>
  </sheetViews>
  <sheetFormatPr defaultRowHeight="15"/>
  <cols>
    <col min="2" max="2" width="12.85546875" customWidth="1"/>
    <col min="3" max="3" width="17.85546875" customWidth="1"/>
    <col min="4" max="4" width="21" customWidth="1"/>
    <col min="5" max="5" width="14.7109375" customWidth="1"/>
    <col min="7" max="7" width="14.7109375" customWidth="1"/>
    <col min="10" max="10" width="12.85546875" customWidth="1"/>
    <col min="11" max="11" width="14.42578125" customWidth="1"/>
    <col min="12" max="12" width="18.85546875" customWidth="1"/>
    <col min="13" max="13" width="11.7109375" customWidth="1"/>
    <col min="15" max="15" width="16.28515625" customWidth="1"/>
  </cols>
  <sheetData>
    <row r="1" spans="1:21">
      <c r="A1" s="94" t="s">
        <v>174</v>
      </c>
    </row>
    <row r="2" spans="1:21">
      <c r="A2" s="94"/>
    </row>
    <row r="3" spans="1:21" ht="18.75">
      <c r="A3" s="148"/>
      <c r="B3" s="147" t="s">
        <v>94</v>
      </c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</row>
    <row r="5" spans="1:21">
      <c r="B5" s="144" t="s">
        <v>150</v>
      </c>
      <c r="C5" s="108">
        <v>6</v>
      </c>
      <c r="D5" s="145"/>
      <c r="E5" s="145"/>
      <c r="F5" s="145"/>
      <c r="G5" s="145"/>
      <c r="J5" s="144" t="s">
        <v>150</v>
      </c>
      <c r="K5" s="108">
        <v>5</v>
      </c>
      <c r="L5" s="145"/>
      <c r="M5" s="145"/>
      <c r="N5" s="145"/>
      <c r="O5" s="145"/>
    </row>
    <row r="7" spans="1:21" ht="18.75" thickBot="1">
      <c r="B7" s="83" t="s">
        <v>175</v>
      </c>
      <c r="C7" s="83" t="s">
        <v>176</v>
      </c>
      <c r="D7" s="83" t="s">
        <v>185</v>
      </c>
      <c r="E7" s="83" t="s">
        <v>182</v>
      </c>
      <c r="F7" s="83" t="s">
        <v>181</v>
      </c>
      <c r="G7" s="83" t="s">
        <v>183</v>
      </c>
      <c r="J7" s="83" t="s">
        <v>175</v>
      </c>
      <c r="K7" s="83" t="s">
        <v>176</v>
      </c>
      <c r="L7" s="83" t="s">
        <v>185</v>
      </c>
      <c r="M7" s="83" t="s">
        <v>182</v>
      </c>
      <c r="N7" s="83" t="s">
        <v>181</v>
      </c>
      <c r="O7" s="83" t="s">
        <v>183</v>
      </c>
    </row>
    <row r="8" spans="1:21" ht="15.75" thickBot="1">
      <c r="B8" s="83">
        <v>6</v>
      </c>
      <c r="C8" s="83" t="s">
        <v>193</v>
      </c>
      <c r="D8" s="83" t="s">
        <v>177</v>
      </c>
      <c r="E8" s="71">
        <f>[4]Rigidezza_P6!$L$5</f>
        <v>26.326962104424197</v>
      </c>
      <c r="F8" s="83">
        <v>2</v>
      </c>
      <c r="G8" s="82">
        <f>F8*E8</f>
        <v>52.653924208848395</v>
      </c>
      <c r="J8" s="83">
        <v>6</v>
      </c>
      <c r="K8" s="83" t="s">
        <v>193</v>
      </c>
      <c r="L8" s="83" t="s">
        <v>177</v>
      </c>
      <c r="M8" s="71">
        <f>[5]Rigidezza_P6!$L$5</f>
        <v>31.793132531486194</v>
      </c>
      <c r="N8" s="83">
        <v>2</v>
      </c>
      <c r="O8" s="82">
        <f>N8*M8</f>
        <v>63.586265062972387</v>
      </c>
    </row>
    <row r="9" spans="1:21">
      <c r="B9" s="83" t="s">
        <v>178</v>
      </c>
      <c r="C9" s="83" t="s">
        <v>193</v>
      </c>
      <c r="D9" s="83" t="s">
        <v>177</v>
      </c>
      <c r="E9" s="82">
        <f>'[4]Rigidezza_P7-15-23'!$L$5</f>
        <v>23.240557688334988</v>
      </c>
      <c r="F9" s="83">
        <v>6</v>
      </c>
      <c r="G9" s="82">
        <f>F9*E9</f>
        <v>139.44334613000993</v>
      </c>
      <c r="J9" s="83" t="s">
        <v>178</v>
      </c>
      <c r="K9" s="83" t="s">
        <v>193</v>
      </c>
      <c r="L9" s="83" t="s">
        <v>177</v>
      </c>
      <c r="M9" s="82">
        <f>'[5]Rigidezza_P7-15-23'!$L$5</f>
        <v>28.376806783960017</v>
      </c>
      <c r="N9" s="83">
        <v>6</v>
      </c>
      <c r="O9" s="82">
        <f>N9*M9</f>
        <v>170.2608407037601</v>
      </c>
    </row>
    <row r="10" spans="1:21">
      <c r="B10" s="83">
        <v>21</v>
      </c>
      <c r="C10" s="83" t="s">
        <v>193</v>
      </c>
      <c r="D10" s="83" t="s">
        <v>184</v>
      </c>
      <c r="E10" s="82">
        <f>[4]Rigidezza_P21!$L$5</f>
        <v>24.189495305256873</v>
      </c>
      <c r="F10" s="83">
        <v>2</v>
      </c>
      <c r="G10" s="82">
        <f>F10*E10</f>
        <v>48.378990610513746</v>
      </c>
      <c r="J10" s="83">
        <v>21</v>
      </c>
      <c r="K10" s="83" t="s">
        <v>193</v>
      </c>
      <c r="L10" s="83" t="s">
        <v>177</v>
      </c>
      <c r="M10" s="82">
        <f>[5]Rigidezza_P21!$L$5</f>
        <v>29.433975324499407</v>
      </c>
      <c r="N10" s="83">
        <v>2</v>
      </c>
      <c r="O10" s="82">
        <f>N10*M10</f>
        <v>58.867950648998814</v>
      </c>
    </row>
    <row r="11" spans="1:21">
      <c r="B11" s="83">
        <v>30</v>
      </c>
      <c r="C11" s="83" t="s">
        <v>193</v>
      </c>
      <c r="D11" s="83" t="s">
        <v>177</v>
      </c>
      <c r="E11" s="82">
        <f>[4]Rigidezza_P30!$L$5</f>
        <v>20.073805964045754</v>
      </c>
      <c r="F11" s="83">
        <v>2</v>
      </c>
      <c r="G11" s="82">
        <f>F11*E11</f>
        <v>40.147611928091507</v>
      </c>
      <c r="J11" s="83">
        <v>30</v>
      </c>
      <c r="K11" s="83" t="s">
        <v>193</v>
      </c>
      <c r="L11" s="83" t="s">
        <v>184</v>
      </c>
      <c r="M11" s="82">
        <f>[5]Rigidezza_P30!$L$5</f>
        <v>24.803062710960912</v>
      </c>
      <c r="N11" s="83">
        <v>2</v>
      </c>
      <c r="O11" s="82">
        <f>N11*M11</f>
        <v>49.606125421921824</v>
      </c>
    </row>
    <row r="12" spans="1:21">
      <c r="G12" s="83">
        <v>0</v>
      </c>
      <c r="M12" s="83"/>
      <c r="O12" s="82">
        <v>0</v>
      </c>
    </row>
    <row r="13" spans="1:21">
      <c r="B13" s="83">
        <v>29</v>
      </c>
      <c r="C13" s="83" t="s">
        <v>193</v>
      </c>
      <c r="D13" s="83" t="s">
        <v>179</v>
      </c>
      <c r="E13" s="82">
        <f>[4]Rigidezza_P29!$L$5</f>
        <v>10.519290886953659</v>
      </c>
      <c r="F13" s="83">
        <v>2</v>
      </c>
      <c r="G13" s="82">
        <f>F13*E13</f>
        <v>21.038581773907318</v>
      </c>
      <c r="J13" s="83">
        <v>29</v>
      </c>
      <c r="K13" s="83" t="s">
        <v>193</v>
      </c>
      <c r="L13" s="83" t="s">
        <v>179</v>
      </c>
      <c r="M13" s="82">
        <f>[5]Rigidezza_P29!$L$5</f>
        <v>13.53553068463809</v>
      </c>
      <c r="N13" s="83">
        <v>2</v>
      </c>
      <c r="O13" s="82">
        <f>N13*M13</f>
        <v>27.07106136927618</v>
      </c>
    </row>
    <row r="14" spans="1:21">
      <c r="E14" s="82"/>
      <c r="G14" s="82">
        <v>0</v>
      </c>
      <c r="M14" s="82"/>
      <c r="O14" s="82">
        <v>0</v>
      </c>
    </row>
    <row r="15" spans="1:21">
      <c r="B15" s="83">
        <v>22</v>
      </c>
      <c r="C15" s="83" t="s">
        <v>194</v>
      </c>
      <c r="D15" s="83" t="s">
        <v>177</v>
      </c>
      <c r="E15" s="82">
        <f>[4]Rigidezza_P22!$L$5</f>
        <v>12.060631487702521</v>
      </c>
      <c r="F15" s="83">
        <v>2</v>
      </c>
      <c r="G15" s="82">
        <f>2*E15</f>
        <v>24.121262975405042</v>
      </c>
      <c r="J15" s="83">
        <v>22</v>
      </c>
      <c r="K15" s="83" t="s">
        <v>194</v>
      </c>
      <c r="L15" s="83" t="s">
        <v>177</v>
      </c>
      <c r="M15" s="82">
        <f>[5]Rigidezza_P22!$L$5</f>
        <v>13.010933386186988</v>
      </c>
      <c r="N15" s="83">
        <v>2</v>
      </c>
      <c r="O15" s="82">
        <f>N15*M15</f>
        <v>26.021866772373976</v>
      </c>
    </row>
    <row r="16" spans="1:21">
      <c r="G16" s="83">
        <v>0</v>
      </c>
      <c r="M16" s="83"/>
      <c r="O16" s="83">
        <v>0</v>
      </c>
    </row>
    <row r="17" spans="2:15">
      <c r="B17" s="135" t="s">
        <v>389</v>
      </c>
      <c r="C17" s="83" t="s">
        <v>194</v>
      </c>
      <c r="D17" s="83" t="s">
        <v>179</v>
      </c>
      <c r="E17" s="82">
        <f>'[4]Rigidezze_P5-14'!$L$5</f>
        <v>9.2661686276775441</v>
      </c>
      <c r="F17" s="83">
        <v>4</v>
      </c>
      <c r="G17" s="82">
        <f>E17*F17</f>
        <v>37.064674510710176</v>
      </c>
      <c r="J17" s="135" t="s">
        <v>389</v>
      </c>
      <c r="K17" s="83" t="s">
        <v>194</v>
      </c>
      <c r="L17" s="83" t="s">
        <v>179</v>
      </c>
      <c r="M17" s="82">
        <f>'[5]Rigidezza_P5-14'!$L$5</f>
        <v>10.397099142353861</v>
      </c>
      <c r="N17" s="83">
        <v>4</v>
      </c>
      <c r="O17" s="82">
        <f>N17*M17</f>
        <v>41.588396569415444</v>
      </c>
    </row>
    <row r="18" spans="2:15">
      <c r="B18" s="83" t="s">
        <v>198</v>
      </c>
      <c r="C18" s="83" t="s">
        <v>194</v>
      </c>
      <c r="D18" s="83" t="s">
        <v>179</v>
      </c>
      <c r="E18" s="82">
        <f>'[4]Rigidezza_P8-16-24-31'!$L$5</f>
        <v>7.716559837213314</v>
      </c>
      <c r="F18" s="83">
        <f>4*2</f>
        <v>8</v>
      </c>
      <c r="G18" s="82">
        <f>E18*F18</f>
        <v>61.732478697706512</v>
      </c>
      <c r="J18" s="83" t="s">
        <v>198</v>
      </c>
      <c r="K18" s="83" t="s">
        <v>194</v>
      </c>
      <c r="L18" s="83" t="s">
        <v>179</v>
      </c>
      <c r="M18" s="82">
        <f>'[5]Rigidezza_P8-16-24-31'!$L$5</f>
        <v>8.8663376723703475</v>
      </c>
      <c r="N18" s="83">
        <f>4*2</f>
        <v>8</v>
      </c>
      <c r="O18" s="82">
        <f>N18*M18</f>
        <v>70.93070137896278</v>
      </c>
    </row>
    <row r="19" spans="2:15">
      <c r="E19" s="83"/>
      <c r="G19" s="82">
        <v>0</v>
      </c>
      <c r="M19" s="83"/>
      <c r="O19" s="82">
        <v>0</v>
      </c>
    </row>
    <row r="20" spans="2:15" ht="15.75" thickBot="1">
      <c r="B20" s="83">
        <v>13</v>
      </c>
      <c r="C20" s="83" t="s">
        <v>195</v>
      </c>
      <c r="D20" s="311" t="s">
        <v>368</v>
      </c>
      <c r="E20" s="82">
        <f>[4]Rigidezza_P13!$L$5</f>
        <v>8.7469458670453157</v>
      </c>
      <c r="F20" s="83">
        <v>2</v>
      </c>
      <c r="G20" s="82">
        <f>E20*F20</f>
        <v>17.493891734090631</v>
      </c>
      <c r="J20" s="83">
        <v>13</v>
      </c>
      <c r="K20" s="83" t="s">
        <v>195</v>
      </c>
      <c r="L20" s="311" t="s">
        <v>368</v>
      </c>
      <c r="M20" s="82">
        <f>[5]Rigidezza_P13!$L$5</f>
        <v>8.7469458670453157</v>
      </c>
      <c r="N20" s="83">
        <v>2</v>
      </c>
      <c r="O20" s="82">
        <f>N20*M20</f>
        <v>17.493891734090631</v>
      </c>
    </row>
    <row r="21" spans="2:15" ht="15.75" thickBot="1">
      <c r="B21" s="136" t="s">
        <v>7</v>
      </c>
      <c r="C21" s="134"/>
      <c r="D21" s="134"/>
      <c r="E21" s="134"/>
      <c r="F21" s="134"/>
      <c r="G21" s="32">
        <f>SUM(G8:G20)</f>
        <v>442.07476256928328</v>
      </c>
      <c r="J21" s="136" t="s">
        <v>7</v>
      </c>
      <c r="K21" s="134"/>
      <c r="L21" s="134"/>
      <c r="M21" s="134"/>
      <c r="N21" s="134"/>
      <c r="O21" s="32">
        <f>SUM(O8:O20)</f>
        <v>525.4270996617721</v>
      </c>
    </row>
    <row r="24" spans="2:15">
      <c r="B24" s="144" t="s">
        <v>150</v>
      </c>
      <c r="C24" s="108" t="s">
        <v>187</v>
      </c>
      <c r="D24" s="145"/>
      <c r="E24" s="145"/>
      <c r="F24" s="145"/>
      <c r="G24" s="145"/>
      <c r="J24" s="101" t="s">
        <v>153</v>
      </c>
      <c r="K24" s="190" t="s">
        <v>220</v>
      </c>
      <c r="L24" s="403"/>
      <c r="M24" s="142"/>
      <c r="N24" s="142"/>
      <c r="O24" s="142"/>
    </row>
    <row r="25" spans="2:15">
      <c r="J25" s="104"/>
      <c r="K25" s="402" t="s">
        <v>221</v>
      </c>
      <c r="L25" s="24"/>
      <c r="M25" s="142"/>
      <c r="N25" s="142"/>
      <c r="O25" s="142"/>
    </row>
    <row r="26" spans="2:15" ht="18.75" thickBot="1">
      <c r="B26" s="83" t="s">
        <v>175</v>
      </c>
      <c r="C26" s="83" t="s">
        <v>176</v>
      </c>
      <c r="D26" s="83" t="s">
        <v>190</v>
      </c>
      <c r="E26" s="83" t="s">
        <v>182</v>
      </c>
      <c r="F26" s="83" t="s">
        <v>181</v>
      </c>
      <c r="G26" s="83" t="s">
        <v>183</v>
      </c>
      <c r="J26" s="120" t="s">
        <v>156</v>
      </c>
      <c r="K26" s="41">
        <f>G21/E8</f>
        <v>16.791711888968511</v>
      </c>
      <c r="N26" s="141"/>
      <c r="O26" s="141"/>
    </row>
    <row r="27" spans="2:15" ht="15.75" thickBot="1">
      <c r="B27" s="83">
        <v>6</v>
      </c>
      <c r="C27" s="83" t="s">
        <v>193</v>
      </c>
      <c r="D27" s="83" t="s">
        <v>177</v>
      </c>
      <c r="E27" s="71">
        <f>[6]Rigidezza_P6!$L$5</f>
        <v>38.109106012941943</v>
      </c>
      <c r="F27" s="83">
        <v>2</v>
      </c>
      <c r="G27" s="82">
        <f>F27*E27</f>
        <v>76.218212025883886</v>
      </c>
      <c r="J27" s="120">
        <v>5</v>
      </c>
      <c r="K27" s="404">
        <f>O21/M8</f>
        <v>16.526433786963825</v>
      </c>
      <c r="L27" s="141"/>
      <c r="M27" s="142"/>
      <c r="N27" s="141"/>
      <c r="O27" s="142"/>
    </row>
    <row r="28" spans="2:15">
      <c r="B28" s="83" t="s">
        <v>178</v>
      </c>
      <c r="C28" s="83" t="s">
        <v>193</v>
      </c>
      <c r="D28" s="83" t="s">
        <v>177</v>
      </c>
      <c r="E28" s="82">
        <f>'[6]Rigidezza_P7-15-23'!$L$5</f>
        <v>34.293983447366259</v>
      </c>
      <c r="F28" s="83">
        <v>6</v>
      </c>
      <c r="G28" s="82">
        <f>F28*E28</f>
        <v>205.76390068419755</v>
      </c>
      <c r="J28" s="120">
        <v>4</v>
      </c>
      <c r="K28" s="404">
        <f>G40/E27</f>
        <v>16.29313741570521</v>
      </c>
      <c r="L28" s="141"/>
      <c r="M28" s="142"/>
      <c r="N28" s="141"/>
      <c r="O28" s="142"/>
    </row>
    <row r="29" spans="2:15">
      <c r="B29" s="83">
        <v>21</v>
      </c>
      <c r="C29" s="83" t="s">
        <v>193</v>
      </c>
      <c r="D29" s="83" t="s">
        <v>177</v>
      </c>
      <c r="E29" s="82">
        <f>[6]Rigidezza_P21!$L$5</f>
        <v>35.482634455961659</v>
      </c>
      <c r="F29" s="83">
        <v>2</v>
      </c>
      <c r="G29" s="82">
        <f>F29*E29</f>
        <v>70.965268911923317</v>
      </c>
      <c r="J29" s="120">
        <v>3</v>
      </c>
      <c r="K29" s="404">
        <f>K28</f>
        <v>16.29313741570521</v>
      </c>
      <c r="L29" s="141"/>
      <c r="M29" s="142"/>
      <c r="N29" s="141"/>
      <c r="O29" s="142"/>
    </row>
    <row r="30" spans="2:15">
      <c r="B30" s="83">
        <v>30</v>
      </c>
      <c r="C30" s="83" t="s">
        <v>193</v>
      </c>
      <c r="D30" s="83" t="s">
        <v>184</v>
      </c>
      <c r="E30" s="82">
        <f>[6]Rigidezza_P30!$L$5</f>
        <v>30.222585452355389</v>
      </c>
      <c r="F30" s="83">
        <v>2</v>
      </c>
      <c r="G30" s="82">
        <f>F30*E30</f>
        <v>60.445170904710778</v>
      </c>
      <c r="J30" s="120">
        <v>2</v>
      </c>
      <c r="K30" s="404">
        <f>K28</f>
        <v>16.29313741570521</v>
      </c>
      <c r="L30" s="141"/>
      <c r="M30" s="142"/>
      <c r="N30" s="141"/>
      <c r="O30" s="142"/>
    </row>
    <row r="31" spans="2:15">
      <c r="E31" s="83"/>
      <c r="G31" s="82">
        <v>0</v>
      </c>
      <c r="J31" s="120">
        <v>1</v>
      </c>
      <c r="K31" s="404">
        <f>G59/E46</f>
        <v>16.295891296211156</v>
      </c>
      <c r="L31" s="142"/>
      <c r="M31" s="142"/>
      <c r="N31" s="142"/>
      <c r="O31" s="142"/>
    </row>
    <row r="32" spans="2:15">
      <c r="B32" s="83">
        <v>29</v>
      </c>
      <c r="C32" s="83" t="s">
        <v>193</v>
      </c>
      <c r="D32" s="83" t="s">
        <v>179</v>
      </c>
      <c r="E32" s="82">
        <f>[6]Rigidezza_P29!$L$5</f>
        <v>16.871200355944332</v>
      </c>
      <c r="F32" s="83">
        <v>2</v>
      </c>
      <c r="G32" s="82">
        <f>F32*E32</f>
        <v>33.742400711888664</v>
      </c>
      <c r="N32" s="141"/>
      <c r="O32" s="142"/>
    </row>
    <row r="33" spans="2:15">
      <c r="E33" s="82"/>
      <c r="G33" s="82">
        <v>0</v>
      </c>
      <c r="J33" s="141"/>
      <c r="K33" s="141"/>
      <c r="L33" s="141"/>
      <c r="M33" s="142"/>
      <c r="N33" s="141"/>
      <c r="O33" s="142"/>
    </row>
    <row r="34" spans="2:15">
      <c r="B34" s="83">
        <v>22</v>
      </c>
      <c r="C34" s="83" t="s">
        <v>194</v>
      </c>
      <c r="D34" s="83" t="s">
        <v>177</v>
      </c>
      <c r="E34" s="82">
        <f>[6]Rigidezza_P22!$L$5</f>
        <v>14.050672211142158</v>
      </c>
      <c r="F34" s="83">
        <v>2</v>
      </c>
      <c r="G34" s="82">
        <f>F34*E34</f>
        <v>28.101344422284317</v>
      </c>
      <c r="J34" s="142"/>
      <c r="K34" s="142"/>
      <c r="L34" s="142"/>
      <c r="M34" s="142"/>
      <c r="N34" s="142"/>
      <c r="O34" s="142"/>
    </row>
    <row r="35" spans="2:15">
      <c r="G35" s="83">
        <v>0</v>
      </c>
      <c r="J35" s="141"/>
      <c r="K35" s="141"/>
      <c r="L35" s="141"/>
      <c r="M35" s="142"/>
      <c r="N35" s="141"/>
      <c r="O35" s="142"/>
    </row>
    <row r="36" spans="2:15">
      <c r="B36" s="135" t="s">
        <v>389</v>
      </c>
      <c r="C36" s="83" t="s">
        <v>194</v>
      </c>
      <c r="D36" s="83" t="s">
        <v>179</v>
      </c>
      <c r="E36" s="82">
        <f>'[6]Rigidezza_P5-14'!$L$5</f>
        <v>11.676582112970708</v>
      </c>
      <c r="F36" s="83">
        <v>4</v>
      </c>
      <c r="G36" s="82">
        <f>F36*E36</f>
        <v>46.706328451882833</v>
      </c>
      <c r="J36" s="142"/>
      <c r="K36" s="142"/>
      <c r="L36" s="142"/>
      <c r="M36" s="142"/>
      <c r="N36" s="142"/>
      <c r="O36" s="142"/>
    </row>
    <row r="37" spans="2:15">
      <c r="B37" s="83" t="s">
        <v>198</v>
      </c>
      <c r="C37" s="83" t="s">
        <v>194</v>
      </c>
      <c r="D37" s="83" t="s">
        <v>179</v>
      </c>
      <c r="E37" s="82">
        <f>'[6]Rigidezza_P8_16_-24-31'!$L$5</f>
        <v>10.185047901459853</v>
      </c>
      <c r="F37" s="83">
        <f>4*2</f>
        <v>8</v>
      </c>
      <c r="G37" s="82">
        <f>F37*E37</f>
        <v>81.480383211678827</v>
      </c>
      <c r="J37" s="143"/>
      <c r="K37" s="141"/>
      <c r="L37" s="141"/>
      <c r="M37" s="142"/>
      <c r="N37" s="141"/>
      <c r="O37" s="142"/>
    </row>
    <row r="38" spans="2:15">
      <c r="E38" s="83"/>
      <c r="G38" s="82">
        <v>0</v>
      </c>
      <c r="J38" s="141"/>
      <c r="K38" s="141"/>
      <c r="L38" s="141"/>
      <c r="M38" s="142"/>
      <c r="N38" s="141"/>
      <c r="O38" s="142"/>
    </row>
    <row r="39" spans="2:15" ht="15.75" thickBot="1">
      <c r="B39" s="83">
        <v>13</v>
      </c>
      <c r="C39" s="83" t="s">
        <v>195</v>
      </c>
      <c r="D39" s="311" t="s">
        <v>368</v>
      </c>
      <c r="E39" s="82">
        <f>[6]Rigidezza_P13!$L$5</f>
        <v>8.7469458670453157</v>
      </c>
      <c r="F39" s="83">
        <v>2</v>
      </c>
      <c r="G39" s="82">
        <f>F39*E39</f>
        <v>17.493891734090631</v>
      </c>
      <c r="J39" s="142"/>
      <c r="K39" s="142"/>
      <c r="L39" s="142"/>
      <c r="M39" s="142"/>
      <c r="N39" s="142"/>
      <c r="O39" s="142"/>
    </row>
    <row r="40" spans="2:15" ht="15.75" thickBot="1">
      <c r="B40" s="136" t="s">
        <v>7</v>
      </c>
      <c r="C40" s="134"/>
      <c r="D40" s="134"/>
      <c r="E40" s="134"/>
      <c r="F40" s="134"/>
      <c r="G40" s="32">
        <f>SUM(G27:G39)</f>
        <v>620.91690105854082</v>
      </c>
      <c r="J40" s="141"/>
      <c r="K40" s="141"/>
      <c r="L40" s="141"/>
      <c r="M40" s="142"/>
      <c r="N40" s="141"/>
      <c r="O40" s="142"/>
    </row>
    <row r="41" spans="2:15">
      <c r="J41" s="142"/>
      <c r="K41" s="142"/>
      <c r="L41" s="142"/>
      <c r="M41" s="142"/>
      <c r="N41" s="142"/>
      <c r="O41" s="142"/>
    </row>
    <row r="42" spans="2:15">
      <c r="J42" s="142"/>
      <c r="K42" s="142"/>
      <c r="L42" s="142"/>
      <c r="M42" s="142"/>
      <c r="N42" s="142"/>
      <c r="O42" s="142"/>
    </row>
    <row r="43" spans="2:15">
      <c r="B43" s="144" t="s">
        <v>150</v>
      </c>
      <c r="C43" s="108">
        <v>1</v>
      </c>
      <c r="D43" s="145"/>
      <c r="E43" s="145"/>
      <c r="F43" s="145"/>
      <c r="G43" s="145"/>
    </row>
    <row r="45" spans="2:15" ht="18.75" thickBot="1">
      <c r="B45" s="83" t="s">
        <v>175</v>
      </c>
      <c r="C45" s="83" t="s">
        <v>176</v>
      </c>
      <c r="D45" s="83" t="s">
        <v>190</v>
      </c>
      <c r="E45" s="83" t="s">
        <v>182</v>
      </c>
      <c r="F45" s="83" t="s">
        <v>181</v>
      </c>
      <c r="G45" s="83" t="s">
        <v>183</v>
      </c>
    </row>
    <row r="46" spans="2:15" ht="15.75" thickBot="1">
      <c r="B46" s="83">
        <v>6</v>
      </c>
      <c r="C46" s="83" t="s">
        <v>193</v>
      </c>
      <c r="D46" s="83" t="s">
        <v>177</v>
      </c>
      <c r="E46" s="71">
        <f>[7]Rigidezza_P6!$L$5</f>
        <v>40.994172814644081</v>
      </c>
      <c r="F46" s="83">
        <v>2</v>
      </c>
      <c r="G46" s="82">
        <f>F46*E46</f>
        <v>81.988345629288162</v>
      </c>
    </row>
    <row r="47" spans="2:15">
      <c r="B47" s="83" t="s">
        <v>178</v>
      </c>
      <c r="C47" s="83" t="s">
        <v>193</v>
      </c>
      <c r="D47" s="83" t="s">
        <v>177</v>
      </c>
      <c r="E47" s="82">
        <f>'[7]Rigidezza_P7-15-23'!$L$5</f>
        <v>38.999595691256978</v>
      </c>
      <c r="F47" s="83">
        <v>6</v>
      </c>
      <c r="G47" s="82">
        <f>F47*E47</f>
        <v>233.99757414754185</v>
      </c>
    </row>
    <row r="48" spans="2:15">
      <c r="B48" s="83">
        <v>21</v>
      </c>
      <c r="C48" s="83" t="s">
        <v>193</v>
      </c>
      <c r="D48" s="83" t="s">
        <v>177</v>
      </c>
      <c r="E48" s="82">
        <f>[7]Rigidezza_P21!$L$5</f>
        <v>39.630623062319806</v>
      </c>
      <c r="F48" s="83">
        <v>2</v>
      </c>
      <c r="G48" s="82">
        <f>F48*E48</f>
        <v>79.261246124639612</v>
      </c>
    </row>
    <row r="49" spans="1:22">
      <c r="B49" s="83">
        <v>30</v>
      </c>
      <c r="C49" s="83" t="s">
        <v>193</v>
      </c>
      <c r="D49" s="83" t="s">
        <v>184</v>
      </c>
      <c r="E49" s="82">
        <f>[7]Rigidezza_P30!$L$5</f>
        <v>36.769247132588475</v>
      </c>
      <c r="F49" s="83">
        <v>2</v>
      </c>
      <c r="G49" s="82">
        <f>F49*E49</f>
        <v>73.538494265176951</v>
      </c>
    </row>
    <row r="50" spans="1:22">
      <c r="E50" s="83"/>
      <c r="G50" s="82">
        <v>0</v>
      </c>
    </row>
    <row r="51" spans="1:22">
      <c r="B51" s="83">
        <v>29</v>
      </c>
      <c r="C51" s="83" t="s">
        <v>193</v>
      </c>
      <c r="D51" s="83" t="s">
        <v>179</v>
      </c>
      <c r="E51" s="82">
        <f>[7]Rigidezza_P29!$L$5</f>
        <v>28.614491973976044</v>
      </c>
      <c r="F51" s="83">
        <v>2</v>
      </c>
      <c r="G51" s="82">
        <f>F51*E51</f>
        <v>57.228983947952088</v>
      </c>
    </row>
    <row r="52" spans="1:22">
      <c r="E52" s="83"/>
      <c r="G52" s="83">
        <v>0</v>
      </c>
    </row>
    <row r="53" spans="1:22">
      <c r="B53" s="83">
        <v>22</v>
      </c>
      <c r="C53" s="83" t="s">
        <v>194</v>
      </c>
      <c r="D53" s="83" t="s">
        <v>177</v>
      </c>
      <c r="E53" s="82">
        <f>[7]Rigidezza_P22!$L$5</f>
        <v>10.47922439554835</v>
      </c>
      <c r="F53" s="83">
        <v>2</v>
      </c>
      <c r="G53" s="82">
        <f>F53*E53</f>
        <v>20.9584487910967</v>
      </c>
    </row>
    <row r="54" spans="1:22">
      <c r="E54" s="83"/>
      <c r="G54" s="83">
        <v>0</v>
      </c>
    </row>
    <row r="55" spans="1:22">
      <c r="B55" s="135" t="s">
        <v>389</v>
      </c>
      <c r="C55" s="83" t="s">
        <v>194</v>
      </c>
      <c r="D55" s="83" t="s">
        <v>179</v>
      </c>
      <c r="E55" s="82">
        <f>'[7]Rigidezza_P5-14'!$L$5</f>
        <v>9.6136140515386383</v>
      </c>
      <c r="F55" s="83">
        <v>4</v>
      </c>
      <c r="G55" s="82">
        <f>F55*E55</f>
        <v>38.454456206154553</v>
      </c>
    </row>
    <row r="56" spans="1:22">
      <c r="B56" s="83" t="s">
        <v>198</v>
      </c>
      <c r="C56" s="83" t="s">
        <v>194</v>
      </c>
      <c r="D56" s="83" t="s">
        <v>179</v>
      </c>
      <c r="E56" s="82">
        <f>'[7]Rigidezza_P8-16-24-31'!$L$5</f>
        <v>9.0095980925514016</v>
      </c>
      <c r="F56" s="83">
        <f>2*4</f>
        <v>8</v>
      </c>
      <c r="G56" s="82">
        <f>F56*E56</f>
        <v>72.076784740411213</v>
      </c>
    </row>
    <row r="57" spans="1:22">
      <c r="E57" s="83"/>
      <c r="G57" s="82">
        <v>0</v>
      </c>
    </row>
    <row r="58" spans="1:22" ht="15.75" thickBot="1">
      <c r="B58" s="83">
        <v>13</v>
      </c>
      <c r="C58" s="83" t="s">
        <v>195</v>
      </c>
      <c r="D58" s="311" t="s">
        <v>368</v>
      </c>
      <c r="E58" s="82">
        <f>[7]Rigidezza_P13!$L$5</f>
        <v>5.2661250566367297</v>
      </c>
      <c r="F58" s="83">
        <v>2</v>
      </c>
      <c r="G58" s="82">
        <f>F58*E58</f>
        <v>10.532250113273459</v>
      </c>
    </row>
    <row r="59" spans="1:22" ht="15.75" thickBot="1">
      <c r="B59" s="136" t="s">
        <v>7</v>
      </c>
      <c r="C59" s="134"/>
      <c r="D59" s="134"/>
      <c r="E59" s="134"/>
      <c r="F59" s="134"/>
      <c r="G59" s="32">
        <f>SUM(G46:G58)</f>
        <v>668.03658396553453</v>
      </c>
    </row>
    <row r="62" spans="1:22" ht="18.75">
      <c r="A62" s="146"/>
      <c r="B62" s="147" t="s">
        <v>95</v>
      </c>
      <c r="C62" s="146"/>
      <c r="D62" s="146"/>
      <c r="E62" s="146"/>
      <c r="F62" s="146"/>
      <c r="G62" s="146"/>
      <c r="H62" s="146"/>
      <c r="I62" s="146"/>
      <c r="J62" s="146"/>
      <c r="K62" s="146"/>
      <c r="L62" s="146"/>
      <c r="M62" s="146"/>
      <c r="N62" s="146"/>
      <c r="O62" s="146"/>
      <c r="P62" s="146"/>
      <c r="Q62" s="146"/>
      <c r="R62" s="146"/>
      <c r="S62" s="146"/>
      <c r="T62" s="146"/>
      <c r="U62" s="146"/>
      <c r="V62" s="146"/>
    </row>
    <row r="64" spans="1:22">
      <c r="B64" s="144" t="s">
        <v>150</v>
      </c>
      <c r="C64" s="108">
        <v>6</v>
      </c>
      <c r="D64" s="145"/>
      <c r="E64" s="145"/>
      <c r="F64" s="145"/>
      <c r="G64" s="145"/>
      <c r="J64" s="144" t="s">
        <v>150</v>
      </c>
      <c r="K64" s="108">
        <v>5</v>
      </c>
      <c r="L64" s="145"/>
      <c r="M64" s="145"/>
      <c r="N64" s="145"/>
      <c r="O64" s="145"/>
    </row>
    <row r="66" spans="2:15" ht="18.75" thickBot="1">
      <c r="B66" s="83" t="s">
        <v>175</v>
      </c>
      <c r="C66" s="83" t="s">
        <v>176</v>
      </c>
      <c r="D66" s="83" t="s">
        <v>185</v>
      </c>
      <c r="E66" s="83" t="s">
        <v>182</v>
      </c>
      <c r="F66" s="83" t="s">
        <v>181</v>
      </c>
      <c r="G66" s="83" t="s">
        <v>183</v>
      </c>
      <c r="J66" s="83" t="s">
        <v>175</v>
      </c>
      <c r="K66" s="83" t="s">
        <v>176</v>
      </c>
      <c r="L66" s="83" t="s">
        <v>185</v>
      </c>
      <c r="M66" s="83" t="s">
        <v>182</v>
      </c>
      <c r="N66" s="83" t="s">
        <v>181</v>
      </c>
      <c r="O66" s="83" t="s">
        <v>183</v>
      </c>
    </row>
    <row r="67" spans="2:15" ht="15.75" thickBot="1">
      <c r="B67" s="83">
        <v>12</v>
      </c>
      <c r="C67" s="83" t="s">
        <v>193</v>
      </c>
      <c r="D67" s="83" t="s">
        <v>177</v>
      </c>
      <c r="E67" s="71">
        <f>[8]Rigidezza_P12!$L$5</f>
        <v>22.161748101519208</v>
      </c>
      <c r="F67" s="83">
        <v>2</v>
      </c>
      <c r="G67" s="82">
        <f>F67*E67</f>
        <v>44.323496203038417</v>
      </c>
      <c r="J67" s="83">
        <v>12</v>
      </c>
      <c r="K67" s="83" t="s">
        <v>193</v>
      </c>
      <c r="L67" s="83" t="s">
        <v>177</v>
      </c>
      <c r="M67" s="71">
        <f>[9]Rigidezza_P12!$L$5</f>
        <v>27.167393575775225</v>
      </c>
      <c r="N67" s="83">
        <v>2</v>
      </c>
      <c r="O67" s="82">
        <f>N67*M67</f>
        <v>54.334787151550451</v>
      </c>
    </row>
    <row r="68" spans="2:15">
      <c r="E68" s="83"/>
      <c r="F68" s="83"/>
      <c r="G68" s="82">
        <v>0</v>
      </c>
      <c r="M68" s="83"/>
      <c r="N68" s="83"/>
      <c r="O68" s="82">
        <v>0</v>
      </c>
    </row>
    <row r="69" spans="2:15">
      <c r="B69" s="135" t="s">
        <v>192</v>
      </c>
      <c r="C69" s="83" t="s">
        <v>193</v>
      </c>
      <c r="D69" s="83" t="s">
        <v>179</v>
      </c>
      <c r="E69" s="82">
        <f>'[8]Rigidezza_P1-4-9-17-25'!$L$5</f>
        <v>12.058777502800043</v>
      </c>
      <c r="F69" s="83">
        <f>2*5</f>
        <v>10</v>
      </c>
      <c r="G69" s="82">
        <f>F69*E69</f>
        <v>120.58777502800042</v>
      </c>
      <c r="J69" s="135" t="s">
        <v>192</v>
      </c>
      <c r="K69" s="83" t="s">
        <v>193</v>
      </c>
      <c r="L69" s="83" t="s">
        <v>179</v>
      </c>
      <c r="M69" s="82">
        <f>[9]Rigidezza_1_4_9_17_25!$L$5</f>
        <v>14.27821243742039</v>
      </c>
      <c r="N69" s="83">
        <f>2*5</f>
        <v>10</v>
      </c>
      <c r="O69" s="82">
        <f>N69*M69</f>
        <v>142.7821243742039</v>
      </c>
    </row>
    <row r="70" spans="2:15">
      <c r="B70" s="135" t="s">
        <v>189</v>
      </c>
      <c r="C70" s="83" t="s">
        <v>193</v>
      </c>
      <c r="D70" s="83" t="s">
        <v>179</v>
      </c>
      <c r="E70" s="82">
        <f>'[8]Rigidezza_P11-19'!$L$5</f>
        <v>15.246324268722059</v>
      </c>
      <c r="F70" s="83">
        <f>2*2</f>
        <v>4</v>
      </c>
      <c r="G70" s="82">
        <f>F70*E70</f>
        <v>60.985297074888237</v>
      </c>
      <c r="J70" s="135" t="s">
        <v>189</v>
      </c>
      <c r="K70" s="83" t="s">
        <v>193</v>
      </c>
      <c r="L70" s="83" t="s">
        <v>179</v>
      </c>
      <c r="M70" s="82">
        <f>[9]Rigidezza_P11_19!$L$5</f>
        <v>17.480923458767474</v>
      </c>
      <c r="N70" s="83">
        <f>2*2</f>
        <v>4</v>
      </c>
      <c r="O70" s="82">
        <f>N70*M70</f>
        <v>69.923693835069898</v>
      </c>
    </row>
    <row r="71" spans="2:15">
      <c r="B71" s="83"/>
      <c r="C71" s="83"/>
      <c r="D71" s="83"/>
      <c r="E71" s="83"/>
      <c r="F71" s="83"/>
      <c r="G71" s="82">
        <v>0</v>
      </c>
      <c r="J71" s="83"/>
      <c r="K71" s="83"/>
      <c r="L71" s="83"/>
      <c r="M71" s="83"/>
      <c r="N71" s="83"/>
      <c r="O71" s="82">
        <v>0</v>
      </c>
    </row>
    <row r="72" spans="2:15">
      <c r="B72" s="135" t="s">
        <v>196</v>
      </c>
      <c r="C72" s="83" t="s">
        <v>194</v>
      </c>
      <c r="D72" s="83" t="s">
        <v>188</v>
      </c>
      <c r="E72" s="82">
        <f>'[8]Rigidezza_P2-10-18-26'!$L$5</f>
        <v>7.8211967872228785</v>
      </c>
      <c r="F72" s="83">
        <f>2*4</f>
        <v>8</v>
      </c>
      <c r="G72" s="82">
        <f>F72*E72</f>
        <v>62.569574297783028</v>
      </c>
      <c r="J72" s="135" t="s">
        <v>196</v>
      </c>
      <c r="K72" s="83" t="s">
        <v>194</v>
      </c>
      <c r="L72" s="83" t="s">
        <v>188</v>
      </c>
      <c r="M72" s="82">
        <f>[9]Rigidezza_2_10_18_26!$L$5</f>
        <v>8.5649107914795426</v>
      </c>
      <c r="N72" s="83">
        <f>2*4</f>
        <v>8</v>
      </c>
      <c r="O72" s="82">
        <f>N72*M72</f>
        <v>68.519286331836341</v>
      </c>
    </row>
    <row r="73" spans="2:15">
      <c r="B73" s="135" t="s">
        <v>191</v>
      </c>
      <c r="C73" s="83" t="s">
        <v>194</v>
      </c>
      <c r="D73" s="83" t="s">
        <v>179</v>
      </c>
      <c r="E73" s="82">
        <f>[8]Rigidezza_P20!$L$5</f>
        <v>8.7728827313948567</v>
      </c>
      <c r="F73" s="83">
        <v>2</v>
      </c>
      <c r="G73" s="82">
        <f>F73*E73</f>
        <v>17.545765462789713</v>
      </c>
      <c r="J73" s="135" t="s">
        <v>191</v>
      </c>
      <c r="K73" s="83" t="s">
        <v>194</v>
      </c>
      <c r="L73" s="83" t="s">
        <v>179</v>
      </c>
      <c r="M73" s="82">
        <f>[9]Rigidezza_20!$L$5</f>
        <v>9.6617261026544288</v>
      </c>
      <c r="N73" s="83">
        <v>2</v>
      </c>
      <c r="O73" s="82">
        <f>N73*M73</f>
        <v>19.323452205308858</v>
      </c>
    </row>
    <row r="74" spans="2:15">
      <c r="E74" s="82"/>
      <c r="G74" s="82">
        <f>F74*E74</f>
        <v>0</v>
      </c>
      <c r="M74" s="82"/>
      <c r="O74" s="82">
        <f>N74*M74</f>
        <v>0</v>
      </c>
    </row>
    <row r="75" spans="2:15">
      <c r="B75" s="83">
        <v>3</v>
      </c>
      <c r="C75" s="83" t="s">
        <v>194</v>
      </c>
      <c r="D75" s="83" t="s">
        <v>180</v>
      </c>
      <c r="E75" s="82">
        <f>[8]Rigidezza_P3!$L$5</f>
        <v>2.3730687066935863</v>
      </c>
      <c r="F75" s="83">
        <v>2</v>
      </c>
      <c r="G75" s="82">
        <f>E73*F75</f>
        <v>17.545765462789713</v>
      </c>
      <c r="J75" s="83">
        <v>3</v>
      </c>
      <c r="K75" s="83" t="s">
        <v>194</v>
      </c>
      <c r="L75" s="83" t="s">
        <v>180</v>
      </c>
      <c r="M75" s="82">
        <f>[9]Rigidezza_3!$L$5</f>
        <v>2.1916064954831178</v>
      </c>
      <c r="N75" s="83">
        <v>2</v>
      </c>
      <c r="O75" s="82">
        <f>N75*M75</f>
        <v>4.3832129909662356</v>
      </c>
    </row>
    <row r="76" spans="2:15" ht="15.75" thickBot="1">
      <c r="B76" s="83">
        <v>27</v>
      </c>
      <c r="C76" s="83" t="s">
        <v>194</v>
      </c>
      <c r="D76" s="83" t="s">
        <v>180</v>
      </c>
      <c r="E76" s="82">
        <f>[8]Rigidezza_P27!$L$5</f>
        <v>2.0916425538037853</v>
      </c>
      <c r="F76" s="83">
        <v>2</v>
      </c>
      <c r="G76" s="82">
        <f>F76*E76</f>
        <v>4.1832851076075706</v>
      </c>
      <c r="J76" s="83">
        <v>27</v>
      </c>
      <c r="K76" s="83" t="s">
        <v>194</v>
      </c>
      <c r="L76" s="83" t="s">
        <v>180</v>
      </c>
      <c r="M76" s="82">
        <f>[9]Rigidezza_27!$L$5</f>
        <v>1.9493779601405787</v>
      </c>
      <c r="N76" s="83">
        <v>2</v>
      </c>
      <c r="O76" s="82">
        <f>N76*M76</f>
        <v>3.8987559202811575</v>
      </c>
    </row>
    <row r="77" spans="2:15" ht="15.75" thickBot="1">
      <c r="B77" s="136" t="s">
        <v>7</v>
      </c>
      <c r="C77" s="134"/>
      <c r="D77" s="134"/>
      <c r="E77" s="134"/>
      <c r="F77" s="134"/>
      <c r="G77" s="32">
        <f>SUM(G67:G76)</f>
        <v>327.74095863689706</v>
      </c>
      <c r="J77" s="136" t="s">
        <v>7</v>
      </c>
      <c r="K77" s="134"/>
      <c r="L77" s="134"/>
      <c r="M77" s="134"/>
      <c r="N77" s="134"/>
      <c r="O77" s="32">
        <f>SUM(O67:O76)</f>
        <v>363.1653128092168</v>
      </c>
    </row>
    <row r="78" spans="2:15">
      <c r="J78" s="83"/>
      <c r="K78" s="83"/>
      <c r="L78" s="83"/>
    </row>
    <row r="79" spans="2:15">
      <c r="J79" s="135"/>
      <c r="K79" s="83"/>
      <c r="L79" s="83"/>
    </row>
    <row r="80" spans="2:15">
      <c r="B80" s="144" t="s">
        <v>150</v>
      </c>
      <c r="C80" s="108" t="s">
        <v>151</v>
      </c>
      <c r="D80" s="145"/>
      <c r="E80" s="145"/>
      <c r="F80" s="145"/>
      <c r="G80" s="145"/>
      <c r="J80" s="101" t="s">
        <v>153</v>
      </c>
      <c r="K80" s="101" t="s">
        <v>222</v>
      </c>
      <c r="L80" s="142"/>
      <c r="M80" s="142"/>
      <c r="N80" s="142"/>
      <c r="O80" s="142"/>
    </row>
    <row r="81" spans="2:15">
      <c r="J81" s="104"/>
      <c r="K81" s="105" t="s">
        <v>221</v>
      </c>
      <c r="L81" s="142"/>
      <c r="M81" s="142"/>
      <c r="N81" s="142"/>
      <c r="O81" s="142"/>
    </row>
    <row r="82" spans="2:15" ht="18.75" thickBot="1">
      <c r="B82" s="83" t="s">
        <v>175</v>
      </c>
      <c r="C82" s="83" t="s">
        <v>176</v>
      </c>
      <c r="D82" s="83" t="s">
        <v>185</v>
      </c>
      <c r="E82" s="83" t="s">
        <v>182</v>
      </c>
      <c r="F82" s="83" t="s">
        <v>181</v>
      </c>
      <c r="G82" s="83" t="s">
        <v>183</v>
      </c>
      <c r="J82" s="120" t="s">
        <v>156</v>
      </c>
      <c r="K82" s="386">
        <f>G77/E67</f>
        <v>14.788587846751589</v>
      </c>
      <c r="L82" s="141"/>
      <c r="M82" s="141"/>
      <c r="N82" s="141"/>
      <c r="O82" s="141"/>
    </row>
    <row r="83" spans="2:15" ht="15.75" thickBot="1">
      <c r="B83" s="83">
        <v>12</v>
      </c>
      <c r="C83" s="83" t="s">
        <v>193</v>
      </c>
      <c r="D83" s="83" t="s">
        <v>177</v>
      </c>
      <c r="E83" s="71">
        <f>[10]Rigidezza_P12!$L$5</f>
        <v>32.925314647198725</v>
      </c>
      <c r="F83" s="83">
        <v>2</v>
      </c>
      <c r="G83" s="82">
        <f>F83*E83</f>
        <v>65.85062929439745</v>
      </c>
      <c r="J83" s="120">
        <v>5</v>
      </c>
      <c r="K83" s="86">
        <f>O77/M67</f>
        <v>13.36769063974713</v>
      </c>
    </row>
    <row r="84" spans="2:15">
      <c r="E84" s="83"/>
      <c r="F84" s="83"/>
      <c r="G84" s="82">
        <v>0</v>
      </c>
      <c r="J84" s="120">
        <v>4</v>
      </c>
      <c r="K84" s="86">
        <f>G93/E83</f>
        <v>13.345111044316791</v>
      </c>
    </row>
    <row r="85" spans="2:15">
      <c r="B85" s="135" t="s">
        <v>192</v>
      </c>
      <c r="C85" s="83" t="s">
        <v>193</v>
      </c>
      <c r="D85" s="83" t="s">
        <v>179</v>
      </c>
      <c r="E85" s="82">
        <f>[10]Rigidezza_1_4_9_17_25!$L$5</f>
        <v>17.773792909041276</v>
      </c>
      <c r="F85" s="83">
        <f>2*5</f>
        <v>10</v>
      </c>
      <c r="G85" s="82">
        <f>F85*E85</f>
        <v>177.73792909041276</v>
      </c>
      <c r="J85" s="120">
        <v>3</v>
      </c>
      <c r="K85" s="86">
        <f>$K$84</f>
        <v>13.345111044316791</v>
      </c>
    </row>
    <row r="86" spans="2:15">
      <c r="B86" s="135" t="s">
        <v>189</v>
      </c>
      <c r="C86" s="83" t="s">
        <v>193</v>
      </c>
      <c r="D86" s="83" t="s">
        <v>179</v>
      </c>
      <c r="E86" s="82">
        <f>[10]Rigidezza_P11_19!$L$5</f>
        <v>21.631304278189067</v>
      </c>
      <c r="F86" s="83">
        <f>2*2</f>
        <v>4</v>
      </c>
      <c r="G86" s="82">
        <f>F86*E86</f>
        <v>86.525217112756266</v>
      </c>
      <c r="J86" s="120">
        <v>2</v>
      </c>
      <c r="K86" s="86">
        <f>$K$84</f>
        <v>13.345111044316791</v>
      </c>
    </row>
    <row r="87" spans="2:15">
      <c r="B87" s="83"/>
      <c r="C87" s="83"/>
      <c r="D87" s="83"/>
      <c r="E87" s="83"/>
      <c r="F87" s="83"/>
      <c r="G87" s="82">
        <v>0</v>
      </c>
      <c r="J87" s="120">
        <v>1</v>
      </c>
      <c r="K87" s="86">
        <f>G109/E99</f>
        <v>15.766407941166609</v>
      </c>
    </row>
    <row r="88" spans="2:15">
      <c r="B88" s="135" t="s">
        <v>196</v>
      </c>
      <c r="C88" s="83" t="s">
        <v>194</v>
      </c>
      <c r="D88" s="83" t="s">
        <v>188</v>
      </c>
      <c r="E88" s="82">
        <f>'[10]Rigidezza_2_10-18-26'!$L$5</f>
        <v>9.8820932188385253</v>
      </c>
      <c r="F88" s="83">
        <f>2*4</f>
        <v>8</v>
      </c>
      <c r="G88" s="82">
        <f>F88*E88</f>
        <v>79.056745750708203</v>
      </c>
    </row>
    <row r="89" spans="2:15">
      <c r="B89" s="135" t="s">
        <v>191</v>
      </c>
      <c r="C89" s="83" t="s">
        <v>194</v>
      </c>
      <c r="D89" s="83" t="s">
        <v>179</v>
      </c>
      <c r="E89" s="82">
        <f>[10]Rigidezza_20!$L$5</f>
        <v>10.969744988207545</v>
      </c>
      <c r="F89" s="83">
        <v>2</v>
      </c>
      <c r="G89" s="82">
        <f>F89*E89</f>
        <v>21.939489976415089</v>
      </c>
    </row>
    <row r="90" spans="2:15">
      <c r="E90" s="82"/>
      <c r="G90" s="82">
        <f>F90*E90</f>
        <v>0</v>
      </c>
    </row>
    <row r="91" spans="2:15">
      <c r="B91" s="83">
        <v>3</v>
      </c>
      <c r="C91" s="83" t="s">
        <v>194</v>
      </c>
      <c r="D91" s="83" t="s">
        <v>180</v>
      </c>
      <c r="E91" s="82">
        <f>[10]Rigidezza_3!$L$5</f>
        <v>2.1916064954831178</v>
      </c>
      <c r="F91" s="83">
        <v>2</v>
      </c>
      <c r="G91" s="82">
        <f>E91*F91</f>
        <v>4.3832129909662356</v>
      </c>
    </row>
    <row r="92" spans="2:15" ht="15.75" thickBot="1">
      <c r="B92" s="83">
        <v>27</v>
      </c>
      <c r="C92" s="83" t="s">
        <v>194</v>
      </c>
      <c r="D92" s="83" t="s">
        <v>180</v>
      </c>
      <c r="E92" s="82">
        <f>[10]Rigidezza_27!$L$5</f>
        <v>1.9493779601405787</v>
      </c>
      <c r="F92" s="83">
        <v>2</v>
      </c>
      <c r="G92" s="82">
        <f>F92*E92</f>
        <v>3.8987559202811575</v>
      </c>
    </row>
    <row r="93" spans="2:15" ht="15.75" thickBot="1">
      <c r="B93" s="136" t="s">
        <v>7</v>
      </c>
      <c r="C93" s="134"/>
      <c r="D93" s="134"/>
      <c r="E93" s="134"/>
      <c r="F93" s="134"/>
      <c r="G93" s="32">
        <f>SUM(G83:G92)</f>
        <v>439.3919801359371</v>
      </c>
    </row>
    <row r="96" spans="2:15">
      <c r="B96" s="144" t="s">
        <v>150</v>
      </c>
      <c r="C96" s="108">
        <v>1</v>
      </c>
      <c r="D96" s="145"/>
      <c r="E96" s="145"/>
      <c r="F96" s="145"/>
      <c r="G96" s="145"/>
    </row>
    <row r="98" spans="2:7" ht="18.75" thickBot="1">
      <c r="B98" s="83" t="s">
        <v>175</v>
      </c>
      <c r="C98" s="83" t="s">
        <v>176</v>
      </c>
      <c r="D98" s="83" t="s">
        <v>185</v>
      </c>
      <c r="E98" s="83" t="s">
        <v>182</v>
      </c>
      <c r="F98" s="83" t="s">
        <v>181</v>
      </c>
      <c r="G98" s="83" t="s">
        <v>183</v>
      </c>
    </row>
    <row r="99" spans="2:7" ht="15.75" thickBot="1">
      <c r="B99" s="83">
        <v>12</v>
      </c>
      <c r="C99" s="83" t="s">
        <v>193</v>
      </c>
      <c r="D99" s="83" t="s">
        <v>177</v>
      </c>
      <c r="E99" s="71">
        <f>[11]Rigidezza_P12!$L$5</f>
        <v>38.261915787682113</v>
      </c>
      <c r="F99" s="83">
        <v>2</v>
      </c>
      <c r="G99" s="82">
        <f>F99*E99</f>
        <v>76.523831575364227</v>
      </c>
    </row>
    <row r="100" spans="2:7">
      <c r="E100" s="82"/>
      <c r="F100" s="83"/>
      <c r="G100" s="82">
        <v>0</v>
      </c>
    </row>
    <row r="101" spans="2:7">
      <c r="B101" s="135" t="s">
        <v>192</v>
      </c>
      <c r="C101" s="83" t="s">
        <v>193</v>
      </c>
      <c r="D101" s="83" t="s">
        <v>179</v>
      </c>
      <c r="E101" s="82">
        <f>[11]Rigidezza_1_4_9_17_25!$L$5</f>
        <v>29.210787997055348</v>
      </c>
      <c r="F101" s="83">
        <f>2*5</f>
        <v>10</v>
      </c>
      <c r="G101" s="82">
        <f>F101*E101</f>
        <v>292.10787997055348</v>
      </c>
    </row>
    <row r="102" spans="2:7">
      <c r="B102" s="135" t="s">
        <v>189</v>
      </c>
      <c r="C102" s="83" t="s">
        <v>193</v>
      </c>
      <c r="D102" s="83" t="s">
        <v>179</v>
      </c>
      <c r="E102" s="82">
        <f>[11]Rigidezza_P11_19!$L$5</f>
        <v>31.681646431655569</v>
      </c>
      <c r="F102" s="83">
        <f>2*2</f>
        <v>4</v>
      </c>
      <c r="G102" s="82">
        <f>F102*E102</f>
        <v>126.72658572662228</v>
      </c>
    </row>
    <row r="103" spans="2:7">
      <c r="B103" s="83"/>
      <c r="C103" s="83"/>
      <c r="D103" s="83"/>
      <c r="E103" s="83"/>
      <c r="F103" s="83"/>
      <c r="G103" s="82">
        <v>0</v>
      </c>
    </row>
    <row r="104" spans="2:7">
      <c r="B104" s="135" t="s">
        <v>196</v>
      </c>
      <c r="C104" s="83" t="s">
        <v>194</v>
      </c>
      <c r="D104" s="83" t="s">
        <v>188</v>
      </c>
      <c r="E104" s="82">
        <f>[11]Rigidezza_2_10_18_26!$L$5</f>
        <v>8.880553873297325</v>
      </c>
      <c r="F104" s="83">
        <f>2*4</f>
        <v>8</v>
      </c>
      <c r="G104" s="82">
        <f>F104*E104</f>
        <v>71.0444309863786</v>
      </c>
    </row>
    <row r="105" spans="2:7">
      <c r="B105" s="135" t="s">
        <v>191</v>
      </c>
      <c r="C105" s="83" t="s">
        <v>194</v>
      </c>
      <c r="D105" s="83" t="s">
        <v>179</v>
      </c>
      <c r="E105" s="82">
        <f>[11]Rigidezza_20!$L$5</f>
        <v>9.3336612081509589</v>
      </c>
      <c r="F105" s="83">
        <v>2</v>
      </c>
      <c r="G105" s="82">
        <f>F105*E105</f>
        <v>18.667322416301918</v>
      </c>
    </row>
    <row r="106" spans="2:7">
      <c r="E106" s="83"/>
      <c r="G106" s="83">
        <v>0</v>
      </c>
    </row>
    <row r="107" spans="2:7">
      <c r="B107" s="83">
        <v>3</v>
      </c>
      <c r="C107" s="83" t="s">
        <v>194</v>
      </c>
      <c r="D107" s="83" t="s">
        <v>180</v>
      </c>
      <c r="E107" s="82">
        <f>[11]Rigidezza_3!$L$5</f>
        <v>4.6325153805373791</v>
      </c>
      <c r="F107" s="83">
        <v>2</v>
      </c>
      <c r="G107" s="82">
        <f>F107*E107</f>
        <v>9.2650307610747582</v>
      </c>
    </row>
    <row r="108" spans="2:7" ht="15.75" thickBot="1">
      <c r="B108" s="83">
        <v>27</v>
      </c>
      <c r="C108" s="83" t="s">
        <v>194</v>
      </c>
      <c r="D108" s="83" t="s">
        <v>180</v>
      </c>
      <c r="E108" s="82">
        <f>[11]Rigidezza_27!$L$5</f>
        <v>4.4589457414320242</v>
      </c>
      <c r="F108" s="83">
        <v>2</v>
      </c>
      <c r="G108" s="82">
        <f>F108*E108</f>
        <v>8.9178914828640483</v>
      </c>
    </row>
    <row r="109" spans="2:7" ht="15.75" thickBot="1">
      <c r="B109" s="136" t="s">
        <v>197</v>
      </c>
      <c r="C109" s="134"/>
      <c r="D109" s="134"/>
      <c r="E109" s="134"/>
      <c r="F109" s="134"/>
      <c r="G109" s="32">
        <f>SUM(G99:G108)</f>
        <v>603.25297291915933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B2:V48"/>
  <sheetViews>
    <sheetView workbookViewId="0">
      <selection activeCell="P31" sqref="P31"/>
    </sheetView>
  </sheetViews>
  <sheetFormatPr defaultRowHeight="15"/>
  <cols>
    <col min="2" max="2" width="14.5703125" customWidth="1"/>
    <col min="3" max="3" width="13.5703125" customWidth="1"/>
    <col min="4" max="4" width="14.140625" customWidth="1"/>
    <col min="6" max="6" width="12.28515625" customWidth="1"/>
    <col min="7" max="7" width="14.42578125" customWidth="1"/>
    <col min="8" max="8" width="13.42578125" customWidth="1"/>
    <col min="9" max="9" width="12.5703125" customWidth="1"/>
    <col min="10" max="10" width="11.5703125" customWidth="1"/>
    <col min="11" max="11" width="11.28515625" customWidth="1"/>
    <col min="13" max="13" width="10.140625" customWidth="1"/>
    <col min="14" max="15" width="11.7109375" customWidth="1"/>
    <col min="16" max="16" width="11.5703125" customWidth="1"/>
    <col min="17" max="17" width="13.28515625" customWidth="1"/>
    <col min="18" max="18" width="12.85546875" customWidth="1"/>
    <col min="19" max="19" width="11.5703125" customWidth="1"/>
    <col min="20" max="20" width="12.5703125" customWidth="1"/>
    <col min="21" max="21" width="10.5703125" customWidth="1"/>
    <col min="22" max="22" width="12.140625" customWidth="1"/>
    <col min="24" max="25" width="11.140625" customWidth="1"/>
  </cols>
  <sheetData>
    <row r="2" spans="2:22">
      <c r="G2" s="489" t="s">
        <v>160</v>
      </c>
      <c r="H2" s="490"/>
      <c r="I2" s="490"/>
      <c r="J2" s="490"/>
      <c r="K2" s="490"/>
      <c r="L2" s="490"/>
      <c r="M2" s="490"/>
      <c r="N2" s="490"/>
      <c r="O2" s="491"/>
    </row>
    <row r="3" spans="2:22" ht="18.75">
      <c r="B3" s="101" t="s">
        <v>153</v>
      </c>
      <c r="C3" s="101" t="s">
        <v>154</v>
      </c>
      <c r="D3" s="101" t="s">
        <v>155</v>
      </c>
      <c r="G3" s="112" t="s">
        <v>75</v>
      </c>
      <c r="H3" s="112" t="s">
        <v>409</v>
      </c>
      <c r="I3" s="109" t="s">
        <v>165</v>
      </c>
      <c r="J3" s="112" t="s">
        <v>170</v>
      </c>
      <c r="K3" s="112" t="s">
        <v>154</v>
      </c>
      <c r="L3" s="112" t="s">
        <v>162</v>
      </c>
      <c r="M3" s="109" t="s">
        <v>164</v>
      </c>
      <c r="N3" s="112" t="s">
        <v>166</v>
      </c>
      <c r="O3" s="112" t="s">
        <v>168</v>
      </c>
      <c r="Q3" s="101" t="s">
        <v>75</v>
      </c>
      <c r="R3" s="101" t="s">
        <v>170</v>
      </c>
      <c r="S3" s="101" t="s">
        <v>409</v>
      </c>
      <c r="T3" s="101" t="s">
        <v>231</v>
      </c>
      <c r="U3" s="101" t="s">
        <v>241</v>
      </c>
      <c r="V3" s="101" t="s">
        <v>242</v>
      </c>
    </row>
    <row r="4" spans="2:22" ht="17.25">
      <c r="B4" s="104"/>
      <c r="C4" s="105" t="s">
        <v>157</v>
      </c>
      <c r="D4" s="105" t="s">
        <v>157</v>
      </c>
      <c r="G4" s="104"/>
      <c r="H4" s="111" t="s">
        <v>161</v>
      </c>
      <c r="I4" s="108" t="s">
        <v>161</v>
      </c>
      <c r="J4" s="105" t="s">
        <v>171</v>
      </c>
      <c r="K4" s="105" t="s">
        <v>157</v>
      </c>
      <c r="L4" s="105" t="s">
        <v>163</v>
      </c>
      <c r="M4" s="110" t="s">
        <v>163</v>
      </c>
      <c r="N4" s="111" t="s">
        <v>167</v>
      </c>
      <c r="O4" s="111" t="s">
        <v>169</v>
      </c>
      <c r="Q4" s="104"/>
      <c r="R4" s="111" t="s">
        <v>171</v>
      </c>
      <c r="S4" s="105" t="s">
        <v>161</v>
      </c>
      <c r="T4" s="105" t="s">
        <v>163</v>
      </c>
      <c r="U4" s="111" t="s">
        <v>167</v>
      </c>
      <c r="V4" s="105" t="s">
        <v>169</v>
      </c>
    </row>
    <row r="5" spans="2:22">
      <c r="B5" s="99" t="s">
        <v>156</v>
      </c>
      <c r="C5" s="7">
        <f>Rig_tip_pilastro!G21</f>
        <v>442.07476256928328</v>
      </c>
      <c r="D5" s="7">
        <f>Rig_tip_pilastro!G77</f>
        <v>327.74095863689706</v>
      </c>
      <c r="G5" s="119" t="s">
        <v>156</v>
      </c>
      <c r="H5" s="22">
        <f>'Masse e Forze'!F38</f>
        <v>451.26798752069476</v>
      </c>
      <c r="I5" s="7">
        <f>'Masse e Forze'!G38</f>
        <v>451.26798752069476</v>
      </c>
      <c r="J5" s="82">
        <f>'Masse e Forze'!I4</f>
        <v>344.72151955762064</v>
      </c>
      <c r="K5" s="29">
        <f t="shared" ref="K5:K10" si="0">C5</f>
        <v>442.07476256928328</v>
      </c>
      <c r="L5" s="29">
        <f t="shared" ref="L5:L10" si="1">I5/K5</f>
        <v>1.0207956339737234</v>
      </c>
      <c r="M5" s="423">
        <f>M6+L5</f>
        <v>12.465204135251437</v>
      </c>
      <c r="N5" s="84">
        <f t="shared" ref="N5:N10" si="2">H5*M5</f>
        <v>5625.1475841495576</v>
      </c>
      <c r="O5" s="7">
        <f t="shared" ref="O5:O10" si="3">J5*M5^2/1000</f>
        <v>53.563282718956508</v>
      </c>
      <c r="Q5" s="119" t="s">
        <v>156</v>
      </c>
      <c r="R5" s="7">
        <f t="shared" ref="R5:R10" si="4">J5</f>
        <v>344.72151955762064</v>
      </c>
      <c r="S5" s="7">
        <f t="shared" ref="S5:S10" si="5">H5</f>
        <v>451.26798752069476</v>
      </c>
      <c r="T5" s="425">
        <f>[12]SPI!$P$2</f>
        <v>14.79772</v>
      </c>
      <c r="U5" s="84">
        <f t="shared" ref="U5:U10" si="6">H5*T5</f>
        <v>6677.7373242947351</v>
      </c>
      <c r="V5" s="78">
        <f t="shared" ref="V5:V10" si="7">J5*T5^2/1000</f>
        <v>75.484538869989677</v>
      </c>
    </row>
    <row r="6" spans="2:22">
      <c r="B6" s="99">
        <v>5</v>
      </c>
      <c r="C6" s="29">
        <f>Rig_tip_pilastro!O21</f>
        <v>525.4270996617721</v>
      </c>
      <c r="D6" s="29">
        <f>Rig_tip_pilastro!O77</f>
        <v>363.1653128092168</v>
      </c>
      <c r="G6" s="120">
        <v>5</v>
      </c>
      <c r="H6" s="23">
        <f>'Masse e Forze'!F39</f>
        <v>427.73424429554319</v>
      </c>
      <c r="I6" s="29">
        <f>'Masse e Forze'!G39</f>
        <v>879.00223181623801</v>
      </c>
      <c r="J6" s="344">
        <f>'Masse e Forze'!I5</f>
        <v>390.11277501123931</v>
      </c>
      <c r="K6" s="29">
        <f t="shared" si="0"/>
        <v>525.4270996617721</v>
      </c>
      <c r="L6" s="29">
        <f t="shared" si="1"/>
        <v>1.6729289988698133</v>
      </c>
      <c r="M6" s="424">
        <f>M7+L6</f>
        <v>11.444408501277714</v>
      </c>
      <c r="N6" s="38">
        <f t="shared" si="2"/>
        <v>4895.1654217035129</v>
      </c>
      <c r="O6" s="29">
        <f t="shared" si="3"/>
        <v>51.094820167330283</v>
      </c>
      <c r="Q6" s="120">
        <v>5</v>
      </c>
      <c r="R6" s="29">
        <f t="shared" si="4"/>
        <v>390.11277501123931</v>
      </c>
      <c r="S6" s="29">
        <f t="shared" si="5"/>
        <v>427.73424429554319</v>
      </c>
      <c r="T6" s="425">
        <f>[12]SPI!$P$4</f>
        <v>12.2637</v>
      </c>
      <c r="U6" s="38">
        <f t="shared" si="6"/>
        <v>5245.6044517672526</v>
      </c>
      <c r="V6" s="78">
        <f t="shared" si="7"/>
        <v>58.672312873323371</v>
      </c>
    </row>
    <row r="7" spans="2:22">
      <c r="B7" s="99">
        <v>4</v>
      </c>
      <c r="C7" s="29">
        <f>Rig_tip_pilastro!G40</f>
        <v>620.91690105854082</v>
      </c>
      <c r="D7" s="29">
        <f>Rig_tip_pilastro!G93</f>
        <v>439.3919801359371</v>
      </c>
      <c r="G7" s="120">
        <v>4</v>
      </c>
      <c r="H7" s="23">
        <f>'Masse e Forze'!F40</f>
        <v>353.60416061218848</v>
      </c>
      <c r="I7" s="29">
        <f>'Masse e Forze'!G40</f>
        <v>1232.6063924284265</v>
      </c>
      <c r="J7" s="344">
        <f>'Masse e Forze'!I6</f>
        <v>400.09748449136168</v>
      </c>
      <c r="K7" s="29">
        <f t="shared" si="0"/>
        <v>620.91690105854082</v>
      </c>
      <c r="L7" s="29">
        <f t="shared" si="1"/>
        <v>1.9851390585875111</v>
      </c>
      <c r="M7" s="424">
        <f>M8+L7</f>
        <v>9.7714795024078995</v>
      </c>
      <c r="N7" s="38">
        <f t="shared" si="2"/>
        <v>3455.2358073881505</v>
      </c>
      <c r="O7" s="29">
        <f t="shared" si="3"/>
        <v>38.202032662235645</v>
      </c>
      <c r="Q7" s="120">
        <v>4</v>
      </c>
      <c r="R7" s="29">
        <f t="shared" si="4"/>
        <v>400.09748449136168</v>
      </c>
      <c r="S7" s="29">
        <f t="shared" si="5"/>
        <v>353.60416061218848</v>
      </c>
      <c r="T7" s="425">
        <f>[12]SPI!$P$6</f>
        <v>10.457979999999999</v>
      </c>
      <c r="U7" s="38">
        <f t="shared" si="6"/>
        <v>3697.9852395990547</v>
      </c>
      <c r="V7" s="78">
        <f t="shared" si="7"/>
        <v>43.758400087194211</v>
      </c>
    </row>
    <row r="8" spans="2:22">
      <c r="B8" s="99">
        <v>3</v>
      </c>
      <c r="C8" s="29">
        <f>Rig_tip_pilastro!G40</f>
        <v>620.91690105854082</v>
      </c>
      <c r="D8" s="29">
        <f>Rig_tip_pilastro!G93</f>
        <v>439.3919801359371</v>
      </c>
      <c r="G8" s="120">
        <v>3</v>
      </c>
      <c r="H8" s="23">
        <f>'Masse e Forze'!F41</f>
        <v>268.52646783331608</v>
      </c>
      <c r="I8" s="29">
        <f>'Masse e Forze'!G41</f>
        <v>1501.1328602617425</v>
      </c>
      <c r="J8" s="344">
        <f>'Masse e Forze'!I7</f>
        <v>400.09748449136168</v>
      </c>
      <c r="K8" s="29">
        <f t="shared" si="0"/>
        <v>620.91690105854082</v>
      </c>
      <c r="L8" s="29">
        <f t="shared" si="1"/>
        <v>2.4176067001922594</v>
      </c>
      <c r="M8" s="424">
        <f>M9+L8</f>
        <v>7.7863404438203876</v>
      </c>
      <c r="N8" s="38">
        <f t="shared" si="2"/>
        <v>2090.8384967267834</v>
      </c>
      <c r="O8" s="29">
        <f t="shared" si="3"/>
        <v>24.256749204592438</v>
      </c>
      <c r="Q8" s="120">
        <v>3</v>
      </c>
      <c r="R8" s="29">
        <f t="shared" si="4"/>
        <v>400.09748449136168</v>
      </c>
      <c r="S8" s="29">
        <f t="shared" si="5"/>
        <v>268.52646783331608</v>
      </c>
      <c r="T8" s="425">
        <f>[12]SPI!$P$8</f>
        <v>8.2576400000000003</v>
      </c>
      <c r="U8" s="38">
        <f t="shared" si="6"/>
        <v>2217.394901839104</v>
      </c>
      <c r="V8" s="78">
        <f t="shared" si="7"/>
        <v>27.282094680618417</v>
      </c>
    </row>
    <row r="9" spans="2:22">
      <c r="B9" s="99">
        <v>2</v>
      </c>
      <c r="C9" s="29">
        <f>Rig_tip_pilastro!G40</f>
        <v>620.91690105854082</v>
      </c>
      <c r="D9" s="56">
        <f>Rig_tip_pilastro!G93</f>
        <v>439.3919801359371</v>
      </c>
      <c r="G9" s="120">
        <v>2</v>
      </c>
      <c r="H9" s="23">
        <f>'Masse e Forze'!F42</f>
        <v>183.44877505444367</v>
      </c>
      <c r="I9" s="29">
        <f>'Masse e Forze'!G42</f>
        <v>1684.5816353161863</v>
      </c>
      <c r="J9" s="344">
        <f>'Masse e Forze'!I8</f>
        <v>400.09748449136168</v>
      </c>
      <c r="K9" s="29">
        <f t="shared" si="0"/>
        <v>620.91690105854082</v>
      </c>
      <c r="L9" s="29">
        <f t="shared" si="1"/>
        <v>2.7130548909915433</v>
      </c>
      <c r="M9" s="424">
        <f>M10+L9</f>
        <v>5.3687337436281286</v>
      </c>
      <c r="N9" s="38">
        <f t="shared" si="2"/>
        <v>984.88762886203779</v>
      </c>
      <c r="O9" s="29">
        <f t="shared" si="3"/>
        <v>11.532130628924326</v>
      </c>
      <c r="Q9" s="120">
        <v>2</v>
      </c>
      <c r="R9" s="29">
        <f t="shared" si="4"/>
        <v>400.09748449136168</v>
      </c>
      <c r="S9" s="29">
        <f t="shared" si="5"/>
        <v>183.44877505444367</v>
      </c>
      <c r="T9" s="425">
        <f>[12]SPI!$P$10</f>
        <v>5.6718700000000002</v>
      </c>
      <c r="U9" s="38">
        <f t="shared" si="6"/>
        <v>1040.4976037680474</v>
      </c>
      <c r="V9" s="78">
        <f t="shared" si="7"/>
        <v>12.871179805501859</v>
      </c>
    </row>
    <row r="10" spans="2:22">
      <c r="B10" s="99">
        <v>1</v>
      </c>
      <c r="C10" s="55">
        <f>Rig_tip_pilastro!G59</f>
        <v>668.03658396553453</v>
      </c>
      <c r="D10" s="212">
        <f>Rig_tip_pilastro!G109</f>
        <v>603.25297291915933</v>
      </c>
      <c r="G10" s="120">
        <v>1</v>
      </c>
      <c r="H10" s="173">
        <f>'Masse e Forze'!F43</f>
        <v>89.508993508668524</v>
      </c>
      <c r="I10" s="55">
        <f>'Masse e Forze'!G43</f>
        <v>1774.0906288248548</v>
      </c>
      <c r="J10" s="344">
        <f>'Masse e Forze'!I9</f>
        <v>364.05336114783466</v>
      </c>
      <c r="K10" s="29">
        <f t="shared" si="0"/>
        <v>668.03658396553453</v>
      </c>
      <c r="L10" s="29">
        <f t="shared" si="1"/>
        <v>2.6556788526365853</v>
      </c>
      <c r="M10" s="424">
        <f>L10</f>
        <v>2.6556788526365853</v>
      </c>
      <c r="N10" s="38">
        <f t="shared" si="2"/>
        <v>237.70714118175638</v>
      </c>
      <c r="O10" s="29">
        <f t="shared" si="3"/>
        <v>2.5675337177172217</v>
      </c>
      <c r="Q10" s="120">
        <v>1</v>
      </c>
      <c r="R10" s="55">
        <f t="shared" si="4"/>
        <v>364.05336114783466</v>
      </c>
      <c r="S10" s="55">
        <f t="shared" si="5"/>
        <v>89.508993508668524</v>
      </c>
      <c r="T10" s="426">
        <f>[12]SPI!$P$12</f>
        <v>2.9824199999999998</v>
      </c>
      <c r="U10" s="163">
        <f t="shared" si="6"/>
        <v>266.95341242012319</v>
      </c>
      <c r="V10" s="188">
        <f t="shared" si="7"/>
        <v>3.2381924148178425</v>
      </c>
    </row>
    <row r="11" spans="2:22">
      <c r="G11" s="414" t="s">
        <v>7</v>
      </c>
      <c r="H11" s="415">
        <f>SUM(H5:H10)</f>
        <v>1774.0906288248548</v>
      </c>
      <c r="I11" s="416"/>
      <c r="J11" s="417"/>
      <c r="K11" s="417"/>
      <c r="L11" s="417"/>
      <c r="M11" s="417"/>
      <c r="N11" s="418">
        <f>SUM(N5:N10)</f>
        <v>17288.9820800118</v>
      </c>
      <c r="O11" s="419">
        <f>SUM(O5:O10)</f>
        <v>181.21654909975643</v>
      </c>
      <c r="Q11" s="414" t="s">
        <v>7</v>
      </c>
      <c r="R11" s="417"/>
      <c r="S11" s="417"/>
      <c r="T11" s="428"/>
      <c r="U11" s="429">
        <f>SUM(U5:U10)</f>
        <v>19146.172933688318</v>
      </c>
      <c r="V11" s="430">
        <f>SUM(V5:V10)</f>
        <v>221.30671873144539</v>
      </c>
    </row>
    <row r="13" spans="2:22" ht="15.75" thickBot="1">
      <c r="B13" s="101" t="s">
        <v>153</v>
      </c>
      <c r="C13" s="101" t="s">
        <v>220</v>
      </c>
      <c r="D13" s="101" t="s">
        <v>222</v>
      </c>
    </row>
    <row r="14" spans="2:22" ht="15.75" thickBot="1">
      <c r="B14" s="104"/>
      <c r="C14" s="105" t="s">
        <v>221</v>
      </c>
      <c r="D14" s="105" t="s">
        <v>221</v>
      </c>
      <c r="G14" s="174"/>
      <c r="H14" s="12"/>
      <c r="I14" s="172"/>
      <c r="Q14" s="113" t="s">
        <v>172</v>
      </c>
      <c r="R14" s="114"/>
      <c r="S14" s="422">
        <f>2*PI()*SQRT(V11/U11)</f>
        <v>0.67551683874737734</v>
      </c>
      <c r="T14" t="s">
        <v>173</v>
      </c>
    </row>
    <row r="15" spans="2:22">
      <c r="B15" s="120" t="s">
        <v>156</v>
      </c>
      <c r="C15" s="7">
        <f>C5/Rig_tip_pilastro!E8</f>
        <v>16.791711888968511</v>
      </c>
      <c r="D15" s="26">
        <f>D5/Bilanciamento!J174</f>
        <v>14.788587846751589</v>
      </c>
    </row>
    <row r="16" spans="2:22">
      <c r="B16" s="120">
        <v>5</v>
      </c>
      <c r="C16" s="29">
        <f>C6/Rig_tip_pilastro!M8</f>
        <v>16.526433786963825</v>
      </c>
      <c r="D16" s="78">
        <f>D6/Bilanciamento!J127</f>
        <v>13.36769063974713</v>
      </c>
      <c r="R16" s="99" t="s">
        <v>82</v>
      </c>
      <c r="S16" s="40">
        <f>[13]Dati!$D$28</f>
        <v>9.5394641537414601E-2</v>
      </c>
    </row>
    <row r="17" spans="2:22">
      <c r="B17" s="120">
        <v>4</v>
      </c>
      <c r="C17" s="29">
        <f>C7/Rig_tip_pilastro!E27</f>
        <v>16.29313741570521</v>
      </c>
      <c r="D17" s="78">
        <f>D7/Bilanciamento!J34</f>
        <v>13.345111044316791</v>
      </c>
      <c r="G17" s="489" t="s">
        <v>234</v>
      </c>
      <c r="H17" s="490"/>
      <c r="I17" s="490"/>
      <c r="J17" s="490"/>
      <c r="K17" s="490"/>
      <c r="L17" s="490"/>
      <c r="M17" s="490"/>
      <c r="N17" s="490"/>
      <c r="O17" s="491"/>
    </row>
    <row r="18" spans="2:22" ht="18.75">
      <c r="B18" s="120">
        <v>3</v>
      </c>
      <c r="C18" s="29">
        <f>C17</f>
        <v>16.29313741570521</v>
      </c>
      <c r="D18" s="78">
        <f>D17</f>
        <v>13.345111044316791</v>
      </c>
      <c r="G18" s="112" t="s">
        <v>75</v>
      </c>
      <c r="H18" s="112" t="s">
        <v>410</v>
      </c>
      <c r="I18" s="185" t="s">
        <v>165</v>
      </c>
      <c r="J18" s="101" t="s">
        <v>170</v>
      </c>
      <c r="K18" s="112" t="s">
        <v>155</v>
      </c>
      <c r="L18" s="101" t="s">
        <v>162</v>
      </c>
      <c r="M18" s="101" t="s">
        <v>164</v>
      </c>
      <c r="N18" s="101" t="s">
        <v>166</v>
      </c>
      <c r="O18" s="101" t="s">
        <v>168</v>
      </c>
      <c r="Q18" s="101" t="s">
        <v>75</v>
      </c>
      <c r="R18" s="101" t="s">
        <v>170</v>
      </c>
      <c r="S18" s="101" t="s">
        <v>410</v>
      </c>
      <c r="T18" s="101" t="s">
        <v>231</v>
      </c>
      <c r="U18" s="101" t="s">
        <v>243</v>
      </c>
      <c r="V18" s="101" t="s">
        <v>242</v>
      </c>
    </row>
    <row r="19" spans="2:22" ht="17.25">
      <c r="B19" s="120">
        <v>2</v>
      </c>
      <c r="C19" s="29">
        <f>C17</f>
        <v>16.29313741570521</v>
      </c>
      <c r="D19" s="78">
        <f>D17</f>
        <v>13.345111044316791</v>
      </c>
      <c r="G19" s="104"/>
      <c r="H19" s="111" t="s">
        <v>161</v>
      </c>
      <c r="I19" s="108" t="s">
        <v>161</v>
      </c>
      <c r="J19" s="105" t="s">
        <v>171</v>
      </c>
      <c r="K19" s="111" t="s">
        <v>157</v>
      </c>
      <c r="L19" s="105" t="s">
        <v>163</v>
      </c>
      <c r="M19" s="111" t="s">
        <v>163</v>
      </c>
      <c r="N19" s="111" t="s">
        <v>167</v>
      </c>
      <c r="O19" s="111" t="s">
        <v>169</v>
      </c>
      <c r="Q19" s="104"/>
      <c r="R19" s="111" t="s">
        <v>171</v>
      </c>
      <c r="S19" s="105" t="s">
        <v>161</v>
      </c>
      <c r="T19" s="105" t="s">
        <v>163</v>
      </c>
      <c r="U19" s="111" t="s">
        <v>167</v>
      </c>
      <c r="V19" s="111" t="s">
        <v>169</v>
      </c>
    </row>
    <row r="20" spans="2:22">
      <c r="B20" s="120">
        <v>1</v>
      </c>
      <c r="C20" s="55">
        <f>C10/Rig_tip_pilastro!E46</f>
        <v>16.295891296211156</v>
      </c>
      <c r="D20" s="401">
        <f>D10/Bilanciamento!J81</f>
        <v>15.766407941166609</v>
      </c>
      <c r="G20" s="119" t="s">
        <v>156</v>
      </c>
      <c r="H20" s="22">
        <f>'Masse e Forze'!F38</f>
        <v>451.26798752069476</v>
      </c>
      <c r="I20" s="7">
        <f>'Masse e Forze'!G38</f>
        <v>451.26798752069476</v>
      </c>
      <c r="J20" s="82">
        <f>'Masse e Forze'!I4</f>
        <v>344.72151955762064</v>
      </c>
      <c r="K20" s="7">
        <f t="shared" ref="K20:K25" si="8">D5</f>
        <v>327.74095863689706</v>
      </c>
      <c r="L20" s="82">
        <f t="shared" ref="L20:L25" si="9">I20/K20</f>
        <v>1.3769044595388908</v>
      </c>
      <c r="M20" s="423">
        <f>M21+L20</f>
        <v>16.793703114678475</v>
      </c>
      <c r="N20" s="38">
        <f t="shared" ref="N20:N25" si="10">H20*M20</f>
        <v>7578.4606075809788</v>
      </c>
      <c r="O20" s="31">
        <f t="shared" ref="O20:O25" si="11">J20*M20^2/1000</f>
        <v>97.221280773363787</v>
      </c>
      <c r="Q20" s="119" t="s">
        <v>156</v>
      </c>
      <c r="R20" s="7">
        <f t="shared" ref="R20:R25" si="12">J20</f>
        <v>344.72151955762064</v>
      </c>
      <c r="S20" s="7">
        <f t="shared" ref="S20:S25" si="13">H20</f>
        <v>451.26798752069476</v>
      </c>
      <c r="T20" s="423">
        <f>[12]SPI!$Q$3</f>
        <v>18.25</v>
      </c>
      <c r="U20" s="38">
        <f t="shared" ref="U20:U25" si="14">H20*T20</f>
        <v>8235.6407722526801</v>
      </c>
      <c r="V20" s="31">
        <f t="shared" ref="V20:V25" si="15">J20*M20^2/1000</f>
        <v>97.221280773363787</v>
      </c>
    </row>
    <row r="21" spans="2:22">
      <c r="G21" s="120">
        <v>5</v>
      </c>
      <c r="H21" s="23">
        <f>'Masse e Forze'!F39</f>
        <v>427.73424429554319</v>
      </c>
      <c r="I21" s="29">
        <f>'Masse e Forze'!G39</f>
        <v>879.00223181623801</v>
      </c>
      <c r="J21" s="344">
        <f>'Masse e Forze'!I5</f>
        <v>390.11277501123931</v>
      </c>
      <c r="K21" s="29">
        <f t="shared" si="8"/>
        <v>363.1653128092168</v>
      </c>
      <c r="L21" s="82">
        <f t="shared" si="9"/>
        <v>2.4203914878787116</v>
      </c>
      <c r="M21" s="424">
        <f>M22+L21</f>
        <v>15.416798655139585</v>
      </c>
      <c r="N21" s="38">
        <f t="shared" si="10"/>
        <v>6594.2927222126773</v>
      </c>
      <c r="O21" s="31">
        <f t="shared" si="11"/>
        <v>92.721099604634873</v>
      </c>
      <c r="Q21" s="120">
        <v>5</v>
      </c>
      <c r="R21" s="29">
        <f t="shared" si="12"/>
        <v>390.11277501123931</v>
      </c>
      <c r="S21" s="29">
        <f t="shared" si="13"/>
        <v>427.73424429554319</v>
      </c>
      <c r="T21" s="424">
        <f>[12]SPI!$Q$5</f>
        <v>16.178000000000001</v>
      </c>
      <c r="U21" s="38">
        <f t="shared" si="14"/>
        <v>6919.8846042132982</v>
      </c>
      <c r="V21" s="31">
        <f t="shared" si="15"/>
        <v>92.721099604634873</v>
      </c>
    </row>
    <row r="22" spans="2:22">
      <c r="G22" s="120">
        <v>4</v>
      </c>
      <c r="H22" s="23">
        <f>'Masse e Forze'!F40</f>
        <v>353.60416061218848</v>
      </c>
      <c r="I22" s="29">
        <f>'Masse e Forze'!G40</f>
        <v>1232.6063924284265</v>
      </c>
      <c r="J22" s="344">
        <f>'Masse e Forze'!I6</f>
        <v>400.09748449136168</v>
      </c>
      <c r="K22" s="29">
        <f t="shared" si="8"/>
        <v>439.3919801359371</v>
      </c>
      <c r="L22" s="82">
        <f t="shared" si="9"/>
        <v>2.8052546431254579</v>
      </c>
      <c r="M22" s="424">
        <f>M23+L22</f>
        <v>12.996407167260873</v>
      </c>
      <c r="N22" s="38">
        <f t="shared" si="10"/>
        <v>4595.583647353511</v>
      </c>
      <c r="O22" s="31">
        <f t="shared" si="11"/>
        <v>67.579105476808138</v>
      </c>
      <c r="Q22" s="120">
        <v>4</v>
      </c>
      <c r="R22" s="29">
        <f t="shared" si="12"/>
        <v>400.09748449136168</v>
      </c>
      <c r="S22" s="29">
        <f t="shared" si="13"/>
        <v>353.60416061218848</v>
      </c>
      <c r="T22" s="424">
        <f>[12]SPI!$Q$7</f>
        <v>13.465</v>
      </c>
      <c r="U22" s="38">
        <f t="shared" si="14"/>
        <v>4761.2800226431182</v>
      </c>
      <c r="V22" s="31">
        <f t="shared" si="15"/>
        <v>67.579105476808138</v>
      </c>
    </row>
    <row r="23" spans="2:22">
      <c r="G23" s="120">
        <v>3</v>
      </c>
      <c r="H23" s="23">
        <f>'Masse e Forze'!F41</f>
        <v>268.52646783331608</v>
      </c>
      <c r="I23" s="29">
        <f>'Masse e Forze'!G41</f>
        <v>1501.1328602617425</v>
      </c>
      <c r="J23" s="344">
        <f>'Masse e Forze'!I7</f>
        <v>400.09748449136168</v>
      </c>
      <c r="K23" s="29">
        <f t="shared" si="8"/>
        <v>439.3919801359371</v>
      </c>
      <c r="L23" s="82">
        <f t="shared" si="9"/>
        <v>3.4163865708184495</v>
      </c>
      <c r="M23" s="424">
        <f>M24+L23</f>
        <v>10.191152524135415</v>
      </c>
      <c r="N23" s="38">
        <f t="shared" si="10"/>
        <v>2736.5941904566662</v>
      </c>
      <c r="O23" s="31">
        <f t="shared" si="11"/>
        <v>41.553960607358434</v>
      </c>
      <c r="Q23" s="120">
        <v>3</v>
      </c>
      <c r="R23" s="29">
        <f t="shared" si="12"/>
        <v>400.09748449136168</v>
      </c>
      <c r="S23" s="29">
        <f t="shared" si="13"/>
        <v>268.52646783331608</v>
      </c>
      <c r="T23" s="424">
        <f>[12]SPI!$Q$9</f>
        <v>10.295999999999999</v>
      </c>
      <c r="U23" s="38">
        <f t="shared" si="14"/>
        <v>2764.7485128118224</v>
      </c>
      <c r="V23" s="31">
        <f t="shared" si="15"/>
        <v>41.553960607358434</v>
      </c>
    </row>
    <row r="24" spans="2:22">
      <c r="G24" s="120">
        <v>2</v>
      </c>
      <c r="H24" s="23">
        <f>'Masse e Forze'!F42</f>
        <v>183.44877505444367</v>
      </c>
      <c r="I24" s="29">
        <f>'Masse e Forze'!G42</f>
        <v>1684.5816353161863</v>
      </c>
      <c r="J24" s="344">
        <f>'Masse e Forze'!I8</f>
        <v>400.09748449136168</v>
      </c>
      <c r="K24" s="29">
        <f t="shared" si="8"/>
        <v>439.3919801359371</v>
      </c>
      <c r="L24" s="82">
        <f t="shared" si="9"/>
        <v>3.8338925412225731</v>
      </c>
      <c r="M24" s="424">
        <f>M25+L24</f>
        <v>6.7747659533169662</v>
      </c>
      <c r="N24" s="38">
        <f t="shared" si="10"/>
        <v>1242.8225154165477</v>
      </c>
      <c r="O24" s="31">
        <f t="shared" si="11"/>
        <v>18.363455778820004</v>
      </c>
      <c r="Q24" s="120">
        <v>2</v>
      </c>
      <c r="R24" s="29">
        <f t="shared" si="12"/>
        <v>400.09748449136168</v>
      </c>
      <c r="S24" s="29">
        <f t="shared" si="13"/>
        <v>183.44877505444367</v>
      </c>
      <c r="T24" s="424">
        <f>[12]SPI!$Q$11</f>
        <v>6.7190000000000003</v>
      </c>
      <c r="U24" s="38">
        <f t="shared" si="14"/>
        <v>1232.5923195908072</v>
      </c>
      <c r="V24" s="31">
        <f t="shared" si="15"/>
        <v>18.363455778820004</v>
      </c>
    </row>
    <row r="25" spans="2:22">
      <c r="G25" s="121">
        <v>1</v>
      </c>
      <c r="H25" s="173">
        <f>'Masse e Forze'!F43</f>
        <v>89.508993508668524</v>
      </c>
      <c r="I25" s="55">
        <f>'Masse e Forze'!G43</f>
        <v>1774.0906288248548</v>
      </c>
      <c r="J25" s="344">
        <f>'Masse e Forze'!I9</f>
        <v>364.05336114783466</v>
      </c>
      <c r="K25" s="55">
        <f t="shared" si="8"/>
        <v>603.25297291915933</v>
      </c>
      <c r="L25" s="82">
        <f t="shared" si="9"/>
        <v>2.9408734120943931</v>
      </c>
      <c r="M25" s="424">
        <f>L25</f>
        <v>2.9408734120943931</v>
      </c>
      <c r="N25" s="38">
        <f t="shared" si="10"/>
        <v>263.23461915297287</v>
      </c>
      <c r="O25" s="31">
        <f t="shared" si="11"/>
        <v>3.1486015655538027</v>
      </c>
      <c r="Q25" s="120">
        <v>1</v>
      </c>
      <c r="R25" s="55">
        <f t="shared" si="12"/>
        <v>364.05336114783466</v>
      </c>
      <c r="S25" s="55">
        <f t="shared" si="13"/>
        <v>89.508993508668524</v>
      </c>
      <c r="T25" s="427">
        <f>[12]SPI!$Q$13</f>
        <v>3.0259999999999998</v>
      </c>
      <c r="U25" s="38">
        <f t="shared" si="14"/>
        <v>270.85421435723094</v>
      </c>
      <c r="V25" s="31">
        <f t="shared" si="15"/>
        <v>3.1486015655538027</v>
      </c>
    </row>
    <row r="26" spans="2:22">
      <c r="G26" s="414" t="s">
        <v>7</v>
      </c>
      <c r="H26" s="415">
        <f>SUM(H20:H25)</f>
        <v>1774.0906288248548</v>
      </c>
      <c r="I26" s="416"/>
      <c r="J26" s="417"/>
      <c r="K26" s="420"/>
      <c r="L26" s="417"/>
      <c r="M26" s="417"/>
      <c r="N26" s="418">
        <f>SUM(N20:N25)</f>
        <v>23010.988302173355</v>
      </c>
      <c r="O26" s="421">
        <f>SUM(O20:O25)</f>
        <v>320.58750380653902</v>
      </c>
      <c r="Q26" s="414" t="s">
        <v>7</v>
      </c>
      <c r="R26" s="431"/>
      <c r="S26" s="417"/>
      <c r="T26" s="428"/>
      <c r="U26" s="418">
        <f>SUM(U20:U25)</f>
        <v>24185.000445868958</v>
      </c>
      <c r="V26" s="421">
        <f>SUM(V20:V25)</f>
        <v>320.58750380653902</v>
      </c>
    </row>
    <row r="28" spans="2:22" ht="15.75" thickBot="1"/>
    <row r="29" spans="2:22" ht="15.75" thickBot="1">
      <c r="G29" s="174"/>
      <c r="H29" s="12"/>
      <c r="I29" s="172"/>
      <c r="J29" s="12"/>
      <c r="Q29" s="113" t="s">
        <v>172</v>
      </c>
      <c r="R29" s="114"/>
      <c r="S29" s="422">
        <f>2*PI()*SQRT(V26/U26)</f>
        <v>0.72340268018323584</v>
      </c>
      <c r="T29" t="s">
        <v>173</v>
      </c>
    </row>
    <row r="30" spans="2:22">
      <c r="G30" s="174"/>
      <c r="H30" s="12"/>
      <c r="I30" s="172"/>
      <c r="J30" s="12"/>
      <c r="K30" s="12"/>
      <c r="L30" s="12"/>
      <c r="M30" s="12"/>
      <c r="N30" s="12"/>
      <c r="O30" s="12"/>
    </row>
    <row r="31" spans="2:22">
      <c r="I31" s="364"/>
      <c r="R31" s="99" t="s">
        <v>82</v>
      </c>
      <c r="S31" s="86">
        <f>[14]Dati!$D$28</f>
        <v>8.5465555000582255E-2</v>
      </c>
    </row>
    <row r="33" spans="2:11">
      <c r="B33" s="12"/>
      <c r="C33" s="12"/>
      <c r="D33" s="12"/>
      <c r="E33" s="12"/>
      <c r="F33" s="12"/>
      <c r="G33" s="12"/>
      <c r="H33" s="53"/>
      <c r="I33" s="12"/>
      <c r="J33" s="12"/>
    </row>
    <row r="34" spans="2:11">
      <c r="B34" s="12"/>
      <c r="C34" s="12"/>
      <c r="D34" s="12"/>
      <c r="E34" s="12"/>
      <c r="F34" s="12"/>
      <c r="G34" s="12"/>
      <c r="H34" s="12"/>
      <c r="I34" s="12"/>
      <c r="J34" s="49"/>
      <c r="K34" s="49"/>
    </row>
    <row r="35" spans="2:11">
      <c r="B35" s="12"/>
      <c r="C35" s="12"/>
      <c r="D35" s="12"/>
      <c r="E35" s="12"/>
      <c r="F35" s="12"/>
      <c r="G35" s="172"/>
      <c r="H35" s="12"/>
      <c r="I35" s="12"/>
      <c r="J35" s="53"/>
      <c r="K35" s="11"/>
    </row>
    <row r="36" spans="2:11">
      <c r="B36" s="11"/>
      <c r="C36" s="172"/>
      <c r="D36" s="12"/>
      <c r="E36" s="12"/>
      <c r="F36" s="12"/>
      <c r="G36" s="12"/>
      <c r="H36" s="12"/>
      <c r="I36" s="12"/>
      <c r="J36" s="53"/>
      <c r="K36" s="53"/>
    </row>
    <row r="37" spans="2:11">
      <c r="B37" s="11"/>
      <c r="C37" s="11"/>
      <c r="D37" s="12"/>
      <c r="E37" s="12"/>
      <c r="F37" s="12"/>
      <c r="G37" s="12"/>
      <c r="H37" s="12"/>
      <c r="I37" s="12"/>
      <c r="J37" s="53"/>
      <c r="K37" s="53"/>
    </row>
    <row r="38" spans="2:11">
      <c r="B38" s="11"/>
      <c r="C38" s="11"/>
      <c r="D38" s="12"/>
      <c r="E38" s="12"/>
      <c r="F38" s="12"/>
      <c r="G38" s="12"/>
      <c r="H38" s="12"/>
      <c r="I38" s="12"/>
      <c r="J38" s="53"/>
      <c r="K38" s="53"/>
    </row>
    <row r="39" spans="2:11">
      <c r="B39" s="12"/>
      <c r="C39" s="12"/>
      <c r="D39" s="12"/>
      <c r="E39" s="12"/>
      <c r="F39" s="12"/>
      <c r="G39" s="12"/>
      <c r="H39" s="12"/>
      <c r="I39" s="12"/>
      <c r="J39" s="53"/>
      <c r="K39" s="53"/>
    </row>
    <row r="40" spans="2:11">
      <c r="B40" s="12"/>
      <c r="C40" s="12"/>
      <c r="D40" s="12"/>
      <c r="E40" s="12"/>
      <c r="F40" s="12"/>
      <c r="G40" s="12"/>
      <c r="H40" s="12"/>
      <c r="I40" s="12"/>
      <c r="J40" s="53"/>
      <c r="K40" s="53"/>
    </row>
    <row r="41" spans="2:11">
      <c r="B41" s="49"/>
      <c r="C41" s="49"/>
      <c r="D41" s="49"/>
      <c r="E41" s="12"/>
      <c r="F41" s="12"/>
      <c r="G41" s="12"/>
      <c r="H41" s="12"/>
      <c r="I41" s="12"/>
      <c r="J41" s="53"/>
      <c r="K41" s="53"/>
    </row>
    <row r="42" spans="2:11">
      <c r="B42" s="12"/>
      <c r="C42" s="11"/>
      <c r="D42" s="11"/>
      <c r="E42" s="12"/>
      <c r="F42" s="12"/>
      <c r="G42" s="12"/>
      <c r="H42" s="12"/>
      <c r="I42" s="12"/>
      <c r="J42" s="12"/>
    </row>
    <row r="43" spans="2:11">
      <c r="B43" s="11"/>
      <c r="C43" s="11"/>
      <c r="D43" s="11"/>
      <c r="E43" s="12"/>
      <c r="F43" s="12"/>
      <c r="G43" s="12"/>
      <c r="H43" s="12"/>
      <c r="I43" s="12"/>
      <c r="J43" s="12"/>
    </row>
    <row r="44" spans="2:11">
      <c r="B44" s="11"/>
      <c r="C44" s="11"/>
      <c r="D44" s="11"/>
      <c r="E44" s="12"/>
      <c r="F44" s="12"/>
      <c r="G44" s="12"/>
      <c r="H44" s="12"/>
      <c r="I44" s="12"/>
      <c r="J44" s="12"/>
    </row>
    <row r="45" spans="2:11">
      <c r="B45" s="11"/>
      <c r="C45" s="11"/>
      <c r="D45" s="11"/>
      <c r="E45" s="12"/>
      <c r="F45" s="12"/>
      <c r="G45" s="12"/>
      <c r="H45" s="12"/>
      <c r="I45" s="12"/>
      <c r="J45" s="12"/>
    </row>
    <row r="46" spans="2:11">
      <c r="B46" s="11"/>
      <c r="C46" s="11"/>
      <c r="D46" s="11"/>
      <c r="E46" s="12"/>
      <c r="F46" s="12"/>
      <c r="G46" s="12"/>
      <c r="H46" s="12"/>
      <c r="I46" s="12"/>
      <c r="J46" s="12"/>
    </row>
    <row r="47" spans="2:11">
      <c r="B47" s="11"/>
      <c r="C47" s="11"/>
      <c r="D47" s="11"/>
      <c r="E47" s="12"/>
      <c r="F47" s="12"/>
      <c r="G47" s="12"/>
      <c r="H47" s="12"/>
      <c r="I47" s="12"/>
      <c r="J47" s="12"/>
    </row>
    <row r="48" spans="2:11">
      <c r="B48" s="11"/>
      <c r="C48" s="11"/>
      <c r="D48" s="11"/>
      <c r="E48" s="12"/>
      <c r="F48" s="12"/>
      <c r="G48" s="12"/>
      <c r="H48" s="12"/>
      <c r="I48" s="12"/>
      <c r="J48" s="12"/>
    </row>
  </sheetData>
  <mergeCells count="2">
    <mergeCell ref="G2:O2"/>
    <mergeCell ref="G17:O17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13</vt:i4>
      </vt:variant>
    </vt:vector>
  </HeadingPairs>
  <TitlesOfParts>
    <vt:vector size="13" baseType="lpstr">
      <vt:lpstr>Carichi Unitari</vt:lpstr>
      <vt:lpstr>C.U. tab. riassuntiva</vt:lpstr>
      <vt:lpstr>Car_Trav</vt:lpstr>
      <vt:lpstr>Masse Impalcato</vt:lpstr>
      <vt:lpstr>Masse e Forze</vt:lpstr>
      <vt:lpstr>C. Sollecitazione</vt:lpstr>
      <vt:lpstr>Dimensionamento t+6</vt:lpstr>
      <vt:lpstr>Rig_tip_pilastro</vt:lpstr>
      <vt:lpstr>Periodo proprio</vt:lpstr>
      <vt:lpstr>Bilanciamento</vt:lpstr>
      <vt:lpstr>C. Rigidezza e Confronto</vt:lpstr>
      <vt:lpstr>Confronti</vt:lpstr>
      <vt:lpstr>Ecc. accid.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Mariagrazia</dc:creator>
  <cp:lastModifiedBy>Mariagrazia</cp:lastModifiedBy>
  <dcterms:created xsi:type="dcterms:W3CDTF">2016-11-10T13:44:55Z</dcterms:created>
  <dcterms:modified xsi:type="dcterms:W3CDTF">2017-03-25T19:27:35Z</dcterms:modified>
</cp:coreProperties>
</file>